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240" yWindow="885" windowWidth="12345" windowHeight="9750" tabRatio="696"/>
  </bookViews>
  <sheets>
    <sheet name="Ισολογισμός" sheetId="3" r:id="rId1"/>
    <sheet name="Λογ.Εκμετάλλευσης" sheetId="2" r:id="rId2"/>
    <sheet name="ΦύλλοΜερισμού" sheetId="4" state="hidden" r:id="rId3"/>
    <sheet name="Μεταβ_Παγίων" sheetId="5" state="hidden" r:id="rId4"/>
  </sheets>
  <externalReferences>
    <externalReference r:id="rId5"/>
  </externalReferences>
  <definedNames>
    <definedName name="Excel_BuiltIn_Print_Area_5_1">Ισολογισμός!$C$2:$X$60</definedName>
    <definedName name="_xlnm.Print_Area" localSheetId="0">Ισολογισμός!$C$2:$Y$145</definedName>
    <definedName name="_xlnm.Print_Area" localSheetId="1">Λογ.Εκμετάλλευσης!$C$2:$X$66</definedName>
    <definedName name="_xlnm.Print_Area" localSheetId="3">Μεταβ_Παγίων!$E$3:$P$23</definedName>
    <definedName name="_xlnm.Print_Area" localSheetId="2">ΦύλλοΜερισμού!$B$2:$J$16</definedName>
  </definedNames>
  <calcPr calcId="125725"/>
</workbook>
</file>

<file path=xl/calcChain.xml><?xml version="1.0" encoding="utf-8"?>
<calcChain xmlns="http://schemas.openxmlformats.org/spreadsheetml/2006/main">
  <c r="G85" i="3"/>
  <c r="U38"/>
  <c r="X59"/>
  <c r="U59"/>
  <c r="U61"/>
  <c r="O59"/>
  <c r="I61"/>
  <c r="I59"/>
  <c r="G91"/>
  <c r="Q13" i="2"/>
  <c r="F30"/>
  <c r="Q16"/>
  <c r="S18"/>
  <c r="AF37"/>
  <c r="S81" i="3"/>
  <c r="I74"/>
  <c r="I71"/>
  <c r="I70"/>
  <c r="I73"/>
  <c r="I76"/>
  <c r="U35"/>
  <c r="G17"/>
  <c r="E17"/>
  <c r="I15"/>
  <c r="U40"/>
  <c r="U41"/>
  <c r="U43"/>
  <c r="G89"/>
  <c r="I92"/>
  <c r="I94"/>
  <c r="U15"/>
  <c r="X24"/>
  <c r="AH24"/>
  <c r="X61"/>
  <c r="E14"/>
  <c r="G77"/>
  <c r="I78"/>
  <c r="O61"/>
  <c r="O52"/>
  <c r="O44"/>
  <c r="M37"/>
  <c r="O37"/>
  <c r="O39"/>
  <c r="O46"/>
  <c r="O24"/>
  <c r="K17"/>
  <c r="K16"/>
  <c r="M15"/>
  <c r="M19"/>
  <c r="K14"/>
  <c r="K13"/>
  <c r="K19"/>
  <c r="O10"/>
  <c r="M10"/>
  <c r="K9"/>
  <c r="K10"/>
  <c r="M97"/>
  <c r="O97"/>
  <c r="M92"/>
  <c r="M89"/>
  <c r="O92"/>
  <c r="O81"/>
  <c r="M77"/>
  <c r="O78"/>
  <c r="O74"/>
  <c r="O71"/>
  <c r="O73"/>
  <c r="O76"/>
  <c r="O79"/>
  <c r="O83"/>
  <c r="O94"/>
  <c r="X49"/>
  <c r="X41"/>
  <c r="X43"/>
  <c r="X31"/>
  <c r="X23"/>
  <c r="X25"/>
  <c r="U24"/>
  <c r="X20"/>
  <c r="X16"/>
  <c r="X10"/>
  <c r="X27"/>
  <c r="X54"/>
  <c r="X74"/>
  <c r="U73"/>
  <c r="F31" i="2"/>
  <c r="H40"/>
  <c r="AF45"/>
  <c r="O15" i="3"/>
  <c r="O19"/>
  <c r="O26"/>
  <c r="O54"/>
  <c r="W18" i="2"/>
  <c r="W13"/>
  <c r="W47"/>
  <c r="L25"/>
  <c r="L19"/>
  <c r="L18"/>
  <c r="L17"/>
  <c r="L14"/>
  <c r="L20"/>
  <c r="L27"/>
  <c r="L42"/>
  <c r="L47"/>
  <c r="I19" i="3"/>
  <c r="I26"/>
  <c r="E15" i="4"/>
  <c r="J15"/>
  <c r="F5"/>
  <c r="F15"/>
  <c r="F11"/>
  <c r="E11"/>
  <c r="J11"/>
  <c r="L11"/>
  <c r="I10"/>
  <c r="I14"/>
  <c r="I16"/>
  <c r="F8"/>
  <c r="J8"/>
  <c r="L8"/>
  <c r="F9"/>
  <c r="E9"/>
  <c r="J9"/>
  <c r="L9"/>
  <c r="F7"/>
  <c r="E7"/>
  <c r="J7"/>
  <c r="L7"/>
  <c r="F6"/>
  <c r="F14"/>
  <c r="F16"/>
  <c r="E6"/>
  <c r="J6"/>
  <c r="E5"/>
  <c r="N21" i="5"/>
  <c r="N22"/>
  <c r="M21"/>
  <c r="O20"/>
  <c r="P20"/>
  <c r="L20"/>
  <c r="K20"/>
  <c r="G20"/>
  <c r="I20"/>
  <c r="K19"/>
  <c r="G19"/>
  <c r="J19"/>
  <c r="O18"/>
  <c r="L18"/>
  <c r="K18"/>
  <c r="J18"/>
  <c r="G18"/>
  <c r="K17"/>
  <c r="L17"/>
  <c r="O17" s="1"/>
  <c r="G17"/>
  <c r="J17"/>
  <c r="K16"/>
  <c r="J16"/>
  <c r="G16"/>
  <c r="O15"/>
  <c r="L15"/>
  <c r="J15"/>
  <c r="P15"/>
  <c r="G15"/>
  <c r="O12"/>
  <c r="M12"/>
  <c r="M22"/>
  <c r="M23"/>
  <c r="L12"/>
  <c r="K12"/>
  <c r="J12"/>
  <c r="I12"/>
  <c r="H12"/>
  <c r="G12"/>
  <c r="N7"/>
  <c r="N23"/>
  <c r="M7"/>
  <c r="I7"/>
  <c r="O6"/>
  <c r="O7"/>
  <c r="L6"/>
  <c r="L7"/>
  <c r="K6"/>
  <c r="K7"/>
  <c r="J6"/>
  <c r="G6"/>
  <c r="G7"/>
  <c r="J12" i="4"/>
  <c r="L12"/>
  <c r="J13"/>
  <c r="L13"/>
  <c r="D14"/>
  <c r="G37" i="3"/>
  <c r="I37"/>
  <c r="I39"/>
  <c r="I46"/>
  <c r="C5"/>
  <c r="C66" s="1"/>
  <c r="U20"/>
  <c r="L40" i="2"/>
  <c r="S78" i="3"/>
  <c r="S82"/>
  <c r="H14" i="2"/>
  <c r="H20"/>
  <c r="H27"/>
  <c r="H42"/>
  <c r="H47"/>
  <c r="H25"/>
  <c r="G96" i="3"/>
  <c r="G97" s="1"/>
  <c r="AO84"/>
  <c r="AO85"/>
  <c r="AN79"/>
  <c r="AA21" i="2"/>
  <c r="AA20"/>
  <c r="E16" i="3"/>
  <c r="E13"/>
  <c r="E19"/>
  <c r="AA32" i="2"/>
  <c r="S84" i="3"/>
  <c r="S91"/>
  <c r="S95"/>
  <c r="S89"/>
  <c r="I24"/>
  <c r="I44"/>
  <c r="I10"/>
  <c r="I54"/>
  <c r="I52"/>
  <c r="U31"/>
  <c r="U10"/>
  <c r="U16"/>
  <c r="U49"/>
  <c r="E9"/>
  <c r="E10"/>
  <c r="G10"/>
  <c r="C2"/>
  <c r="C3"/>
  <c r="C4"/>
  <c r="E7"/>
  <c r="U7" s="1"/>
  <c r="K7"/>
  <c r="K68"/>
  <c r="X7"/>
  <c r="AH19"/>
  <c r="Y25" i="2"/>
  <c r="AA30" i="3"/>
  <c r="BG32"/>
  <c r="AJ53"/>
  <c r="AK53"/>
  <c r="C67"/>
  <c r="S67"/>
  <c r="S76"/>
  <c r="AI76"/>
  <c r="S88"/>
  <c r="S94"/>
  <c r="Q9" i="2"/>
  <c r="U9"/>
  <c r="S13"/>
  <c r="S47"/>
  <c r="A19"/>
  <c r="H17"/>
  <c r="Y24"/>
  <c r="Y26"/>
  <c r="Y23"/>
  <c r="A18"/>
  <c r="H18"/>
  <c r="H19"/>
  <c r="AA19"/>
  <c r="A17"/>
  <c r="I81" i="3"/>
  <c r="D16" i="4"/>
  <c r="J5"/>
  <c r="L5"/>
  <c r="G14"/>
  <c r="G16"/>
  <c r="J10"/>
  <c r="L10"/>
  <c r="H14"/>
  <c r="H16"/>
  <c r="E14"/>
  <c r="E16"/>
  <c r="G19" i="3"/>
  <c r="X68"/>
  <c r="O99"/>
  <c r="L52" i="2"/>
  <c r="W50"/>
  <c r="H50"/>
  <c r="H52"/>
  <c r="S50"/>
  <c r="L74"/>
  <c r="J14" i="4"/>
  <c r="L6"/>
  <c r="W52" i="2"/>
  <c r="J16" i="4"/>
  <c r="AI54" i="3"/>
  <c r="I79"/>
  <c r="I83"/>
  <c r="E68"/>
  <c r="U68"/>
  <c r="AN40"/>
  <c r="AH34"/>
  <c r="AH43"/>
  <c r="S52" i="2"/>
  <c r="Y52"/>
  <c r="P6" i="5"/>
  <c r="P7"/>
  <c r="H6"/>
  <c r="H7"/>
  <c r="L19"/>
  <c r="O19"/>
  <c r="P19"/>
  <c r="J7"/>
  <c r="H16"/>
  <c r="H15"/>
  <c r="P18"/>
  <c r="J21"/>
  <c r="J22"/>
  <c r="I21"/>
  <c r="I22"/>
  <c r="I23"/>
  <c r="H20"/>
  <c r="G21"/>
  <c r="G22"/>
  <c r="G23"/>
  <c r="K21"/>
  <c r="K22"/>
  <c r="K23"/>
  <c r="L16"/>
  <c r="L21"/>
  <c r="L22" s="1"/>
  <c r="L23" s="1"/>
  <c r="H18"/>
  <c r="H21"/>
  <c r="H22"/>
  <c r="H23"/>
  <c r="J23"/>
  <c r="O16"/>
  <c r="P16"/>
  <c r="O21" l="1"/>
  <c r="O22" s="1"/>
  <c r="O23" s="1"/>
  <c r="P17"/>
  <c r="P21" s="1"/>
  <c r="P22" s="1"/>
  <c r="P23" s="1"/>
  <c r="I97" i="3"/>
  <c r="I99" s="1"/>
  <c r="U69" s="1"/>
  <c r="U23" l="1"/>
  <c r="U25" s="1"/>
  <c r="U27" s="1"/>
  <c r="U54" s="1"/>
  <c r="U74"/>
  <c r="AN54" l="1"/>
  <c r="BR54"/>
  <c r="Z54"/>
  <c r="AH60"/>
  <c r="AJ60" s="1"/>
</calcChain>
</file>

<file path=xl/comments1.xml><?xml version="1.0" encoding="utf-8"?>
<comments xmlns="http://schemas.openxmlformats.org/spreadsheetml/2006/main">
  <authors>
    <author/>
  </authors>
  <commentList>
    <comment ref="F15" authorId="0">
      <text>
        <r>
          <rPr>
            <sz val="10"/>
            <color indexed="8"/>
            <rFont val="Times New Roman"/>
            <family val="1"/>
            <charset val="161"/>
          </rPr>
          <t>100 %  ΑΝΑΛΩΣΕΙΣ ΥΓΕΙΟΝΟΜΙΚΟΥ,  
 50% ΑΝΑΛΩΣΕΙΣ  ΑΝΑΛΩΣΙΜΩΝ, 
 80% ΑΝΑΛΩΣΕΙΣ ΑΝΤΑΛΛΑΚΤΙΚΩΝ</t>
        </r>
      </text>
    </comment>
    <comment ref="G15" authorId="0">
      <text>
        <r>
          <rPr>
            <sz val="10"/>
            <color indexed="8"/>
            <rFont val="Times New Roman"/>
            <family val="1"/>
            <charset val="161"/>
          </rPr>
          <t>100 %  ΑΝΑΛΩΣΕΙΣ ΥΓΕΙΟΝΟΜΙΚΟΥ,  
 50% ΑΝΑΛΩΣΕΙΣ  ΑΝΑΛΩΣΙΜΩΝ, 
 80% ΑΝΑΛΩΣΕΙΣ ΑΝΤΑΛΛΑΚΤΙΚΩΝ</t>
        </r>
      </text>
    </comment>
    <comment ref="H15" authorId="0">
      <text>
        <r>
          <rPr>
            <sz val="10"/>
            <color indexed="8"/>
            <rFont val="Times New Roman"/>
            <family val="1"/>
            <charset val="161"/>
          </rPr>
          <t>100 %  ΑΝΑΛΩΣΕΙΣ ΥΓΕΙΟΝΟΜΙΚΟΥ,  
 50% ΑΝΑΛΩΣΕΙΣ  ΑΝΑΛΩΣΙΜΩΝ, 
 80% ΑΝΑΛΩΣΕΙΣ ΑΝΤΑΛΛΑΚΤΙΚΩΝ</t>
        </r>
      </text>
    </comment>
    <comment ref="I15" authorId="0">
      <text>
        <r>
          <rPr>
            <sz val="10"/>
            <color indexed="8"/>
            <rFont val="Times New Roman"/>
            <family val="1"/>
            <charset val="161"/>
          </rPr>
          <t>100 %  ΑΝΑΛΩΣΕΙΣ ΥΓΕΙΟΝΟΜΙΚΟΥ,  
 50% ΑΝΑΛΩΣΕΙΣ  ΑΝΑΛΩΣΙΜΩΝ, 
 80% ΑΝΑΛΩΣΕΙΣ ΑΝΤΑΛΛΑΚΤΙΚΩΝ</t>
        </r>
      </text>
    </comment>
  </commentList>
</comments>
</file>

<file path=xl/sharedStrings.xml><?xml version="1.0" encoding="utf-8"?>
<sst xmlns="http://schemas.openxmlformats.org/spreadsheetml/2006/main" count="289" uniqueCount="247">
  <si>
    <t xml:space="preserve">ΕΛΛΗΝΙΚΗ ΔΗΜΟΚΡΑΤΙΑ </t>
  </si>
  <si>
    <t>1η Υ.ΠΕ.  ΑΤΤΙΚΗΣ</t>
  </si>
  <si>
    <t>ΧΡΕΩΣΗ</t>
  </si>
  <si>
    <t>ΠΙΣΤΩΣΗ</t>
  </si>
  <si>
    <t>1. Απόθεμα Ενάρξεως Χρήσεως</t>
  </si>
  <si>
    <t>1. Έσοδα κύριας δραστηριότητας</t>
  </si>
  <si>
    <t>Πρώτες &amp; Βοηθητικές Ύλες</t>
  </si>
  <si>
    <t xml:space="preserve">Έσοδα από παροχή </t>
  </si>
  <si>
    <t>Αναλώσιμα υλικά</t>
  </si>
  <si>
    <t>υγειονομικών υπηρεσιών</t>
  </si>
  <si>
    <t>Ανταλλακτικά πάγιων στοιχείων</t>
  </si>
  <si>
    <t>2. Λοιπά οργανικά έσοδα</t>
  </si>
  <si>
    <t>2. Αγορές Χρήσεως</t>
  </si>
  <si>
    <t>Επιχορηγήσεις</t>
  </si>
  <si>
    <t>Έσοδα από παρεπόμενες ασχολίες</t>
  </si>
  <si>
    <t>Έσοδα Κεφαλαίων</t>
  </si>
  <si>
    <t>Σύνολο Αρχικών Αποθεμάτων και Αγορών</t>
  </si>
  <si>
    <t>3. Μείον Αποθέματα Τέλους Χρήσεως</t>
  </si>
  <si>
    <t xml:space="preserve">Αγορές &amp; Διαφορά Αποθεμάτων </t>
  </si>
  <si>
    <t>4. Οργανικά 'Εξοδα</t>
  </si>
  <si>
    <t>Αμοιβές &amp; Έξοδα Προσωπικού</t>
  </si>
  <si>
    <t>Αμοιβές &amp; Έξοδα Τρίτων</t>
  </si>
  <si>
    <t>Παροχές τρίτων</t>
  </si>
  <si>
    <t>Φόροι Τέλη (πλην των μη ενσ/νων</t>
  </si>
  <si>
    <t>στο λειτουργικό κόστος φόρων)</t>
  </si>
  <si>
    <t>Διάφορα έξοδα</t>
  </si>
  <si>
    <t>Τόκοι &amp; συναφή έξοδα</t>
  </si>
  <si>
    <t xml:space="preserve">Αποσβέσεις παγίων στοιχείων </t>
  </si>
  <si>
    <t>ενσωματομένες στο λειτουργικό κόστος</t>
  </si>
  <si>
    <t>Χορηγήσεις Επιχορηγήσεις Επιδοτήσεις</t>
  </si>
  <si>
    <t>Προβλέψεις εκμετ/σεως</t>
  </si>
  <si>
    <t>Συνολικό κόστος</t>
  </si>
  <si>
    <t>Μείον</t>
  </si>
  <si>
    <t>Τεκμαρτά Έσοδα</t>
  </si>
  <si>
    <t>Συνολικό κόστος εσόδων</t>
  </si>
  <si>
    <t>Συνολικό έσοδο</t>
  </si>
  <si>
    <t>ΕΝΕΡΓΗΤΙΚΟ</t>
  </si>
  <si>
    <t>Υπόλοιπο</t>
  </si>
  <si>
    <t>ΠΑΘΗΤΙΚΟ</t>
  </si>
  <si>
    <t>B.</t>
  </si>
  <si>
    <t>ΕΞΟΔΑ ΕΓΚΑΤΑΣΤΑΣΕΩΣ</t>
  </si>
  <si>
    <t>Αξία κτήσεως</t>
  </si>
  <si>
    <t>Αποσβέσεις</t>
  </si>
  <si>
    <t>Αναπόσβ.αξία</t>
  </si>
  <si>
    <t>Α.</t>
  </si>
  <si>
    <t>ΙΔΙΑ ΚΕΦΑΛΑΙΑ</t>
  </si>
  <si>
    <t>4.Λοιπά έξοδα εγκαταστάσεως</t>
  </si>
  <si>
    <t>Ι.</t>
  </si>
  <si>
    <t>Κεφάλαιο</t>
  </si>
  <si>
    <t>Γ.</t>
  </si>
  <si>
    <t>ΠΑΓΙΟ ΕΝΕΡΓΗΤΙΚΟ</t>
  </si>
  <si>
    <t>ΙΙ.</t>
  </si>
  <si>
    <t>Ενσώματες ακινητοποιήσεις</t>
  </si>
  <si>
    <t>Διαφορές αναπροσαρμογής &amp; επιχορηγήσεις</t>
  </si>
  <si>
    <t>1.Γήπεδα-Οικόπεδα</t>
  </si>
  <si>
    <t>επενδύσεων-δωρεές παγίων</t>
  </si>
  <si>
    <t>3.Κτίρια &amp; τεχνικά έργα</t>
  </si>
  <si>
    <t xml:space="preserve">3.Δωρεές Παγίων </t>
  </si>
  <si>
    <t>4.Επιχορηγήσεις Επενδύσεων</t>
  </si>
  <si>
    <t>5.Μεταφορικά μέσα</t>
  </si>
  <si>
    <t>6.Έπιπλα &amp; λοιπός εξοπλισμός</t>
  </si>
  <si>
    <t>ΙΙΙ.</t>
  </si>
  <si>
    <t>Αποθεματικά Κεφάλαια</t>
  </si>
  <si>
    <t>7.Ακινητοποιήσεις υπό εκτέλεση &amp; προκαταβολές</t>
  </si>
  <si>
    <t>3.Ειδικά αποθεματικά</t>
  </si>
  <si>
    <t xml:space="preserve">Σύνολο ακινητοποιήσεων </t>
  </si>
  <si>
    <t>Λ/41.05+41.08+41.12</t>
  </si>
  <si>
    <t xml:space="preserve">Τίτλοι πάγιας επένδυσης &amp; άλλες μακροπρόθεσμες </t>
  </si>
  <si>
    <t>V</t>
  </si>
  <si>
    <t>Αποτελέσματα εις νέο</t>
  </si>
  <si>
    <t>χρηματοοικονομικές απαιτήσεις</t>
  </si>
  <si>
    <t>1.Τίτλοι πάγιας επένδυσης</t>
  </si>
  <si>
    <t xml:space="preserve">   Προβλέψεις</t>
  </si>
  <si>
    <t>Σύνολο πάγιου ενεργητικού (ΓΙΙ+ΓΙΙΙ)</t>
  </si>
  <si>
    <t>Σύνολο ιδίων κεφαλαίων (ΑΙ+ΑΙΙΙ+ΑΙΙΙ+ΑΙV+V)</t>
  </si>
  <si>
    <t>Δ.</t>
  </si>
  <si>
    <t>ΚΥΚΛΟΦΟΡΟΥΝ ΕΝΕΡΓΗΤΙΚΟ</t>
  </si>
  <si>
    <t>Αποθέματα</t>
  </si>
  <si>
    <t>Β.</t>
  </si>
  <si>
    <t>ΠΡΟΒΛΕΨΕΙΣ ΓΙΑ ΚΙΝΔΥΝΟΥΣ &amp; ΕΞΟΔΑ</t>
  </si>
  <si>
    <t>ΧΑΡΤΗΣ ΥΓΕΙΑΣ   ΠΙΝΑΚΕΣ ΟΙΚΟΝΟΜΙΚΩΝ</t>
  </si>
  <si>
    <t>4. Α' &amp; Β' Ύλες, Αναλώσιμα Υλικά &amp; Ανταλ/κά Παγίων</t>
  </si>
  <si>
    <t>2.Λοιπές Προβλέψεις</t>
  </si>
  <si>
    <t>ΠΕΔΙΟ ΠΙΝΑΚΑ</t>
  </si>
  <si>
    <t>ΠΟΣΟ ΧΡΗΣΗΣ 2009</t>
  </si>
  <si>
    <t>ΠΟΣΟ ΧΡΗΣΗΣ ΕΩΣ 2009</t>
  </si>
  <si>
    <t>ΣΤ2.1.2</t>
  </si>
  <si>
    <t>Απαιτήσεις</t>
  </si>
  <si>
    <t>ΣΤ2.1.3</t>
  </si>
  <si>
    <t>1.Απαιτήσεις από Πώληση Αγαθών &amp; Υπηρεσιών</t>
  </si>
  <si>
    <t>ΥΠΟΧΡΕΩΣΕΙΣ</t>
  </si>
  <si>
    <t>Λ/50</t>
  </si>
  <si>
    <t>ΣΤ2.1.4</t>
  </si>
  <si>
    <t>2.Απαιτήσεις από Επιχορηγήσεις &amp; Παρεπόμενες Ασχολίες</t>
  </si>
  <si>
    <t>Βραχυπρόθεσμες υποχρεώσεις</t>
  </si>
  <si>
    <t>ΣΤ2.1.5</t>
  </si>
  <si>
    <t>Β 1</t>
  </si>
  <si>
    <t>6.Λογαριασμοί Διαχείρισης Προκαταβολών &amp; Πιστώσεων</t>
  </si>
  <si>
    <t>1.Προμηθευτές</t>
  </si>
  <si>
    <t>ΣΤ2.1.6</t>
  </si>
  <si>
    <t>IV.</t>
  </si>
  <si>
    <t>Διαθέσιμα</t>
  </si>
  <si>
    <t>5.Υποχρεώσεις από Φόρους και Τέλη</t>
  </si>
  <si>
    <t>Λ/55</t>
  </si>
  <si>
    <t>ΣΤ2.1.8</t>
  </si>
  <si>
    <t>1.Ταμείο</t>
  </si>
  <si>
    <t>6.Ασφαλιστικοί Οργανισμοί</t>
  </si>
  <si>
    <t>Λ/53+Πιστ.Υπολ.Λ/35</t>
  </si>
  <si>
    <t>ΣΤ2.1.10</t>
  </si>
  <si>
    <t>3.Καταθέσεις όψεως &amp; προθεσμίας</t>
  </si>
  <si>
    <t>8.Πιστωτές διάφοροι</t>
  </si>
  <si>
    <t>ΣΤ6.2</t>
  </si>
  <si>
    <t>ΣΤ6.3</t>
  </si>
  <si>
    <t>Σύνολο υποχρεώσεων (ΓΙΙ)</t>
  </si>
  <si>
    <t>ΣΤ6.8</t>
  </si>
  <si>
    <t>ΣΤ7.2.1</t>
  </si>
  <si>
    <t>Ε.</t>
  </si>
  <si>
    <t>ΜΕΤΑΒΑΤΙΚΟΙ ΛΟΓΑΡΙΑΣΜΟΙ ΕΝΕΡΓΗΤΙΚΟΥ</t>
  </si>
  <si>
    <t>ΜΕΤΑΒΑΤΙΚΟΙ ΛΟΓΑΡΙΑΣΜΟΙ ΠΑΘΗΤΙΚΟΥ</t>
  </si>
  <si>
    <t>ΣΤ7.2.2</t>
  </si>
  <si>
    <t>1.Έξοδα επόμενων χρήσεων</t>
  </si>
  <si>
    <t>1.Έσοδα επόμενων χρήσεων</t>
  </si>
  <si>
    <t>ΣΤ7.2.3</t>
  </si>
  <si>
    <t>2.Έσοδα χρήσεως εισπρακτέα</t>
  </si>
  <si>
    <t>2.Έξοδα χρήσεως δουλευμένα</t>
  </si>
  <si>
    <t>3.Λοιποί μεταβατικοί λ/σμοί ενεργητικού</t>
  </si>
  <si>
    <t>3.Λοιποί μεταβατικοί λ/σμοί παθητικού</t>
  </si>
  <si>
    <t>ΣΤ7.2.4</t>
  </si>
  <si>
    <t>ΣΤ7.2.5</t>
  </si>
  <si>
    <t>ΔΙΑΦΟΡΑ ΕΝΕΡΓΗΤΙΚΟ 
ΜΕΙΟΝ
ΠΑΘΗΤΙΚΟ</t>
  </si>
  <si>
    <t>ΓΕΝΙΚΟ ΣΥΝΟΛΟ ΕΝΕΡΓΗΤΙΚΟΥ (Β+Γ+Δ+Ε)</t>
  </si>
  <si>
    <t>ΓΕΝΙΚΟ ΣΥΝΟΛΟ ΠΑΘΗΤΙΚΟΥ (Α+Β+Γ+Δ)</t>
  </si>
  <si>
    <t>ΔΙΑΦΟΡΑ ΕΝΕΡΓΗΤΙΚΟ - ΠΑΘΗΤΙΚΟ</t>
  </si>
  <si>
    <t>ΛΟΓΑΡΙΑΣΜΟΙ ΤΑΞΕΩΣ ΧΡΕΩΣΤΙΚΟΙ</t>
  </si>
  <si>
    <t>ΛΟΓΑΡΙΑΣΜΟΙ ΤΑΞΕΩΣ ΠΙΣΤΩΤΙΚΟΙ</t>
  </si>
  <si>
    <t xml:space="preserve"> </t>
  </si>
  <si>
    <t>ΠΙΝΑΚΑΣ ΔΙΑΘΕΣΗΣ ΑΠΟΤΕΛΕΣΜΑΤΩΝ</t>
  </si>
  <si>
    <t>Ι.  Αποτελέσματα εκμεταλλεύσεως</t>
  </si>
  <si>
    <t>1. Έσοδα από πώληση αγαθών &amp; υπηρεσιών</t>
  </si>
  <si>
    <t>(+) Υπόλοιπο αποτελεσμάτων (πλεονασμάτων) προηγουμένων χρήσεων</t>
  </si>
  <si>
    <t>Μείον:</t>
  </si>
  <si>
    <t>Κόστος αγαθών &amp; υπηρεσιών</t>
  </si>
  <si>
    <t>Πλέον:</t>
  </si>
  <si>
    <t>Άλλα έσοδα</t>
  </si>
  <si>
    <t>Σύνολο</t>
  </si>
  <si>
    <t>1. Έξοδα Διοικητικής Λειτουργίας</t>
  </si>
  <si>
    <t>3. Έξοδα Λειτουργίας Δημοσίων Σχέσεων</t>
  </si>
  <si>
    <t>Μερικά αποτελέσματα (ζημίες) εκμεταλλεύσεως</t>
  </si>
  <si>
    <t>4. Πιστωτικοί Τόκοι &amp; Συναφή Έσοδα</t>
  </si>
  <si>
    <t>3. Χρεωστικοί τόκοι &amp; συναφή έξοδα</t>
  </si>
  <si>
    <t>Ολικά αποτελέσματα (κέρδη/ζημίες) εκμεταλλεύσεως</t>
  </si>
  <si>
    <t>ΙΙ.  Πλέον: Εκτακτα αποτελέσματα</t>
  </si>
  <si>
    <t>1. Έκτακτα &amp; ανόργανα έσοδα</t>
  </si>
  <si>
    <t>3. Έσοδα προηγούμενων χρήσεων</t>
  </si>
  <si>
    <t>3α. Επιχορηγήσεις για Κάλυψη Ελλειμμάτων Προηγ.Χρήσεων</t>
  </si>
  <si>
    <t>Οργανικά &amp; έκτακτα αποτελέσματα (κέρδη/ζημιές)</t>
  </si>
  <si>
    <t>Σύνολο αποσβέσεων παγίων στοιχείων</t>
  </si>
  <si>
    <t>Οι από αυτές ενσωματωμένες στο λειτουργικό κόστος</t>
  </si>
  <si>
    <t>Λ/44</t>
  </si>
  <si>
    <t>Χρεόγραφα</t>
  </si>
  <si>
    <t>ΙIΙ.</t>
  </si>
  <si>
    <t>3. Λοιπά Χρεόγραφα</t>
  </si>
  <si>
    <t>Σύνολο κυκλοφορούντος ενεργητικού (ΔΙ+ΔΙΙ+Δiii+ΔIV)</t>
  </si>
  <si>
    <t>4. Έσοδα από Προβλέψεις Προηγ.Χρήσεων</t>
  </si>
  <si>
    <t>3. Έξοδα Προηγούμενων Χρήσεων</t>
  </si>
  <si>
    <t>ΠΑΘΟΛΟΓΙΚΟ  ΝΟΣΟΚΟΜΕΙΟ  ΑΘΗΝΩΝ</t>
  </si>
  <si>
    <t>ΣΠΗΛΙΟΠΟΥΛΕΙΟ  "Η  ΑΓΙΑ  ΕΛΕΝΗ"</t>
  </si>
  <si>
    <t>Ο  ΔΙΟΙΚΗΤΗΣ &amp; ΠΡΟΕΔΡΟΣ Δ.Σ.</t>
  </si>
  <si>
    <t>Η ΠΡΟΪΣΤΑΜΕΝΗ ΟΙΚΟΝΟΜΙΚΟΥ ΤΜΗΜΑΤΟΣ</t>
  </si>
  <si>
    <t>Υπόλοιπο ελλείμματος χρήσης εις νέο</t>
  </si>
  <si>
    <t>Υπόλοιπο ελλείμματος προηγ. Χρήσεων</t>
  </si>
  <si>
    <t>2α. Επιταγές μη εμφανισθείσες</t>
  </si>
  <si>
    <t>4.Μηχανήματα-τεχνικές εγκατ. &amp; λοιπός εξοπλισμός</t>
  </si>
  <si>
    <t>Ζημία εις νέο</t>
  </si>
  <si>
    <t>4. Αποτίμηση Χρεογράφων</t>
  </si>
  <si>
    <t>Υπόλοιπο πλεονάσματος χρήσης εις νέο</t>
  </si>
  <si>
    <t xml:space="preserve">Καθαρά Αποτελέσματα  Εκμεταλλεύσεως </t>
  </si>
  <si>
    <t>ΚΑΘΑΡΑ ΑΠΟΤΕΛΕΣΜΑΤΑ  (ΚΕΡΔΗ/ZHMIEΣ) ΧΡΗΣΕΩΣ</t>
  </si>
  <si>
    <t>Μικτά αποτελέσματα (κέρδη/ζημίες) εκμεταλλεύσεως</t>
  </si>
  <si>
    <t>H ΔΙΟΙΚΗΤΙΚH ΔΙΕΥΘΥΝΤΡΙΑ</t>
  </si>
  <si>
    <t>ΒΛΑΧΑΚΗ ΚΥΡΙΑΚΗ</t>
  </si>
  <si>
    <t>Α.Δ.Τ. ΑΒ 304836</t>
  </si>
  <si>
    <t>ΚΕΦΗ ΒΑΣΙΛΙΚΗ</t>
  </si>
  <si>
    <t>Α.Δ.Τ. Ρ 497569</t>
  </si>
  <si>
    <t>ΧΡΙΣΤΑΚΟΣ ΑΝΔΡΕΑΣ</t>
  </si>
  <si>
    <t>ΑΑΟΕΕ 15423/Α ΤΑΞΗΣ</t>
  </si>
  <si>
    <t xml:space="preserve">     Α.Δ.Τ. ΑΜ021669 </t>
  </si>
  <si>
    <t>ΙΩΑΚΕΙΜΙΔΗ ΣΟΦΙΑ</t>
  </si>
  <si>
    <t>Α,Δ.Τ. Χ216721</t>
  </si>
  <si>
    <t>ΑΑΟΕΕ 90025/Β ΤΑΞΗΣ</t>
  </si>
  <si>
    <t>Α.Δ.Τ. Χ216721</t>
  </si>
  <si>
    <t>ΓΙΑ ΤΟ ΛΟΓΙΣΤΗΡΙΟ</t>
  </si>
  <si>
    <t>Έλλεμμα χρήσεως</t>
  </si>
  <si>
    <t>Φόρος εισοδήματος</t>
  </si>
  <si>
    <t>Λοιποί μη ενσωματωμένοι στο λειτουργικό κόστος φόροι</t>
  </si>
  <si>
    <t>11. Χρεώστες διάφοροι</t>
  </si>
  <si>
    <t>4. Λοιποί λογαριασμοί τάξεως</t>
  </si>
  <si>
    <t>ΣΥΝΟΛΟ</t>
  </si>
  <si>
    <t xml:space="preserve">ΣΥΝΟΛΟ </t>
  </si>
  <si>
    <t>Αναλώσεις Υλικών</t>
  </si>
  <si>
    <t>ΣΥΝΟΛΟ 
ΕΞΟΔΩΝ</t>
  </si>
  <si>
    <t>ΣΧΟΛΙΑ</t>
  </si>
  <si>
    <t>ΧΡΗΜΑΤΟ-
ΟΙΚΟΝΟΜΙΚΑ</t>
  </si>
  <si>
    <t>ΔΗΜΟΣΙΕΣ
ΣΧΕΣΕΙΣ</t>
  </si>
  <si>
    <t>ΕΡΕΥΝΑ</t>
  </si>
  <si>
    <t>ΔΙΟΙΚΗΣΗ</t>
  </si>
  <si>
    <t>ΠΑΡΑΓΩΓΗ</t>
  </si>
  <si>
    <t>ΣΥΝΟΛΟ 
ΙΣΟΖΥΓΙΟΥ 31/12/2014</t>
  </si>
  <si>
    <t>ΛΟΓ/ΣΜΟΣ</t>
  </si>
  <si>
    <t>ΦΥΛΛΟ ΜΕΡΙΣΜΟΥ ΔΑΠΑΝΩΝ</t>
  </si>
  <si>
    <r>
      <t xml:space="preserve">Αξία κτήσεως Εισαγωγών </t>
    </r>
    <r>
      <rPr>
        <sz val="12"/>
        <rFont val="Tahoma"/>
        <family val="2"/>
        <charset val="161"/>
      </rPr>
      <t>(Αγορών, Παγιοποιήσεων)</t>
    </r>
  </si>
  <si>
    <r>
      <t xml:space="preserve">Αξία κτήσεως Εξαγωγών </t>
    </r>
    <r>
      <rPr>
        <sz val="12"/>
        <rFont val="Tahoma"/>
        <family val="2"/>
        <charset val="161"/>
      </rPr>
      <t>(Καταστροφών Εκποιήσεων)</t>
    </r>
  </si>
  <si>
    <t>Αποσβεσθέντα Καταστροφών 2006</t>
  </si>
  <si>
    <t>10.00,10.10</t>
  </si>
  <si>
    <t>Ασώματες ακινητοποιήσεις</t>
  </si>
  <si>
    <t>1.Έξοδα ερευνών και ανάπτυξης</t>
  </si>
  <si>
    <t>15,32.00,50.08</t>
  </si>
  <si>
    <t>4.Μηχανήματα-Τεχνικές εγκατ. &amp; λοιπός μηχ/κός εξοπλ.</t>
  </si>
  <si>
    <t>Σύνολο ενσώματων ακινητοποιήσεων</t>
  </si>
  <si>
    <t>Σύνολο ακινητοποιήσεων (ΓΙΙ)</t>
  </si>
  <si>
    <t>Γενικό Σύνολο (Β+Γ)</t>
  </si>
  <si>
    <t>Αξία κτήσεως 31/12/2013</t>
  </si>
  <si>
    <t>Αξία κτήσεως την 31/12/2014</t>
  </si>
  <si>
    <t>Αποσβεσθέντα εως 31/12/2013</t>
  </si>
  <si>
    <t>Αποσβέσεις Συνολικά 2014</t>
  </si>
  <si>
    <t>Αποσβέσεις Εξαχθέντων 2014</t>
  </si>
  <si>
    <t>Αποσβεσθέντα Μενόντων 
έως 31/12/2014</t>
  </si>
  <si>
    <t>Αναπόσβεστη Αξία 31/12/2014</t>
  </si>
  <si>
    <t>ΠΙΝΑΚΑΣ ΜΕΤΑΒΟΛΗΣ ΠΑΓΙΩΝ ΣΤΟΙΧΕΙΩΝ ΣΤΗΝ ΧΡΗΣΗ 2014</t>
  </si>
  <si>
    <t xml:space="preserve">ACT NET TAX SOLUTIONS </t>
  </si>
  <si>
    <t>ΛΟΓΑΡΙΑΣΜΟΣ ΓΕΝΙΚΗΣ ΕΚΜΕΤΑΛΛΕΥΣΗΣ ΤΗΣ 31ης ΔΕΚΕΜΒΡΙΟΥ 2015
ΧΡΗΣΗΣ  1ης ΙΑΝΟΥΑΡΙΟΥ- 31ης ΔΕΚΕΜΒΡΙΟΥ 2015</t>
  </si>
  <si>
    <t>Ποσά προηγούμενης χρήσης 
2014</t>
  </si>
  <si>
    <t>Ποσά κλειόμενης χρήσης
2015</t>
  </si>
  <si>
    <t>1. Έκτακτα &amp; ανόργανα έξοδα</t>
  </si>
  <si>
    <t>10η ΔΙΑΧΕΙΡΙΣΤΙΚΗ ΧΡΗΣΗ  1η ΙΑΝΟΥΑΡΙΟΥ- 31η ΔΕΚΕΜΒΡΙΟΥ 2015</t>
  </si>
  <si>
    <t>ΒΕΖΥΡΑΚΗΣ ΔΗΜΗΤΡΙΟΣ</t>
  </si>
  <si>
    <t>Α.Δ.Τ. ΑΕ 012779</t>
  </si>
  <si>
    <t xml:space="preserve">          Εξοφληθείσες υποχρεώσεις</t>
  </si>
  <si>
    <t xml:space="preserve">          Ταμειακό αποτέλεσμα</t>
  </si>
  <si>
    <t xml:space="preserve">        Εισπραχθέντα έσοδα</t>
  </si>
  <si>
    <t xml:space="preserve">        Ταμειακό αποτέλεσμα</t>
  </si>
  <si>
    <r>
      <t xml:space="preserve">4) Το κόστος νοσηλείων των απόρων για την χρήση 2015 ανέρχεται σε € </t>
    </r>
    <r>
      <rPr>
        <b/>
        <sz val="11"/>
        <rFont val="Arial Greek"/>
        <charset val="161"/>
      </rPr>
      <t>205.000,16€.</t>
    </r>
    <r>
      <rPr>
        <sz val="11"/>
        <rFont val="Arial Greek"/>
        <charset val="161"/>
      </rPr>
      <t xml:space="preserve"> 5) Σε περίπτωση που προκύψουν αξιώσεις των εργαζομένων οι οποίες δικαιωθούν από τα δικαστήρια δεν θα επιβαρυνθεί ο Προϋπολογισμός του Νοσοκομείου, 6) Στον λογαριασμό ειδικά αποθεματικά , € 1.821.158,01 εμπεριέχεται ποσο € 520.000  επιχορηγήσεων που έλαβε το Νοσοκομείο εντός της χρήσης 2015 για την πληρωμή  υποχρεώσεων προς προμηθευτές, 7) Για την κατάρτιση των Οικονομικών Καταστάσεων εφαρμόστηκαν οι διατάξεις του Π.Δ.146/2003. </t>
    </r>
  </si>
  <si>
    <t>ΑΘΗΝΑ  30/09/2016</t>
  </si>
  <si>
    <t>2. Χρεωστικοί Λογαριασμοί Δημόσιου Λογιστικού (02.31)</t>
  </si>
  <si>
    <t>2. Πιστωτικοί Λογαριασμοί Δημόσιου Λογιστικού (06.31)</t>
  </si>
  <si>
    <r>
      <t xml:space="preserve">ΣΗΜΕΙΩΣΕΙΣ : </t>
    </r>
    <r>
      <rPr>
        <b/>
        <sz val="11"/>
        <rFont val="Arial Greek"/>
        <family val="2"/>
        <charset val="161"/>
      </rPr>
      <t xml:space="preserve"> 1) </t>
    </r>
    <r>
      <rPr>
        <sz val="11"/>
        <rFont val="Arial Greek"/>
        <family val="2"/>
        <charset val="161"/>
      </rPr>
      <t xml:space="preserve">Η αξία των κονδυλίων του ενεργητικού (Γ-ΙΙ-1) "Γήπεδα-Οικόπεδα" και (Γ-ΙΙ-3) "Κτίρια και τεχνικά έργα" προσδιορίστηκαν το 2006 όπως ορίζεται από το ΠΔ 146/2003 με βάση το σύστημα αντικειμενικού προσδιορισμού της αξίας των ακινήτων που προβλέπονται από τις ισχύουσες  φορολογικές διατάξεις </t>
    </r>
    <r>
      <rPr>
        <b/>
        <sz val="11"/>
        <rFont val="Arial Greek"/>
        <family val="2"/>
        <charset val="161"/>
      </rPr>
      <t>2)</t>
    </r>
    <r>
      <rPr>
        <sz val="11"/>
        <rFont val="Arial Greek"/>
        <family val="2"/>
        <charset val="161"/>
      </rPr>
      <t xml:space="preserve">  Στους λογ/σμούς της Κατάστασης Αποτελεσμάτων Χρήσεως "Κόστος Αγαθών &amp; Υπηρεσιών" και "Έξοδα Διοικητικής Λειτουργίας"  και ισόποσα στα "Άλλα Έσοδα Εκμεταλλεύσεως" περιλαμβάνεται ποσό ευρώ 1.149.174,05€ (έναντι 1.386.206,40€ του έτους 2014)  που αφορά στο κόστος της μισθοδοσίας των εργαζομένων του Νοσοκομείου που καταβλήθηκε &amp; επιχορηγήθηκε από το Υ.Υ.Κ.Α.  </t>
    </r>
    <r>
      <rPr>
        <b/>
        <sz val="11"/>
        <rFont val="Arial Greek"/>
        <family val="2"/>
        <charset val="161"/>
      </rPr>
      <t xml:space="preserve">3) </t>
    </r>
    <r>
      <rPr>
        <sz val="11"/>
        <rFont val="Arial Greek"/>
        <family val="2"/>
        <charset val="161"/>
      </rPr>
      <t>Στο 2015 συμψηφίστηκαν απαιτήσεις του Νοσοκομείου από τα Ασφαλιστικά Ταμεία ΙΚΑ &amp; ΟΓΑ ύψους 6.328,48</t>
    </r>
    <r>
      <rPr>
        <b/>
        <sz val="11"/>
        <rFont val="Arial Greek"/>
        <family val="2"/>
        <charset val="161"/>
      </rPr>
      <t xml:space="preserve"> </t>
    </r>
    <r>
      <rPr>
        <sz val="11"/>
        <rFont val="Arial Greek"/>
        <family val="2"/>
        <charset val="161"/>
      </rPr>
      <t>€ με ισόποσες υποχρεώσεις του Νοσοκομείου προς Προμηθευτές που όφειλαν στα Ασφαλιστικά Ταμεία ΙΚΑ &amp; ΟΓΑ. Αυτό πραγματοποιήθηκε με εκχώρηση των Απαιτήσεων των Ασφαλιστικών Ταμείων, από Προμηθευτές, προς το Νοσοκομείο.</t>
    </r>
  </si>
  <si>
    <t>ACT NET TAX SOLUTIONS AE</t>
  </si>
</sst>
</file>

<file path=xl/styles.xml><?xml version="1.0" encoding="utf-8"?>
<styleSheet xmlns="http://schemas.openxmlformats.org/spreadsheetml/2006/main">
  <numFmts count="1">
    <numFmt numFmtId="164" formatCode="_(* #,##0.00_);_(* \(#,##0.00\);_(* \-??_);_(@_)"/>
  </numFmts>
  <fonts count="36">
    <font>
      <sz val="10"/>
      <name val="Arial Greek"/>
      <family val="2"/>
      <charset val="161"/>
    </font>
    <font>
      <sz val="12"/>
      <name val="Tahoma"/>
      <family val="2"/>
      <charset val="161"/>
    </font>
    <font>
      <sz val="12"/>
      <color indexed="10"/>
      <name val="Tahoma"/>
      <family val="2"/>
      <charset val="161"/>
    </font>
    <font>
      <b/>
      <sz val="12"/>
      <name val="Tahoma"/>
      <family val="2"/>
      <charset val="161"/>
    </font>
    <font>
      <b/>
      <u/>
      <sz val="12"/>
      <name val="Tahoma"/>
      <family val="2"/>
      <charset val="161"/>
    </font>
    <font>
      <sz val="12"/>
      <name val="Arial Greek"/>
      <family val="2"/>
      <charset val="161"/>
    </font>
    <font>
      <b/>
      <i/>
      <sz val="12"/>
      <name val="Tahoma"/>
      <family val="2"/>
      <charset val="161"/>
    </font>
    <font>
      <sz val="12"/>
      <name val="Arial"/>
      <family val="2"/>
      <charset val="1"/>
    </font>
    <font>
      <b/>
      <sz val="12"/>
      <color indexed="10"/>
      <name val="Tahoma"/>
      <family val="2"/>
      <charset val="161"/>
    </font>
    <font>
      <b/>
      <u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0"/>
      <name val="Tahoma"/>
      <family val="2"/>
      <charset val="161"/>
    </font>
    <font>
      <b/>
      <u/>
      <sz val="11"/>
      <name val="Arial Greek"/>
      <family val="2"/>
      <charset val="161"/>
    </font>
    <font>
      <sz val="11"/>
      <name val="Arial Greek"/>
      <charset val="161"/>
    </font>
    <font>
      <b/>
      <sz val="11"/>
      <name val="Tahoma"/>
      <family val="2"/>
      <charset val="161"/>
    </font>
    <font>
      <sz val="12"/>
      <color indexed="8"/>
      <name val="Tahoma"/>
      <family val="2"/>
      <charset val="161"/>
    </font>
    <font>
      <i/>
      <sz val="12"/>
      <color indexed="9"/>
      <name val="Tahoma"/>
      <family val="2"/>
      <charset val="161"/>
    </font>
    <font>
      <sz val="11"/>
      <name val="Tahoma"/>
      <family val="2"/>
      <charset val="161"/>
    </font>
    <font>
      <b/>
      <u/>
      <sz val="11"/>
      <name val="Tahoma"/>
      <family val="2"/>
      <charset val="161"/>
    </font>
    <font>
      <sz val="14"/>
      <name val="Arial"/>
      <family val="2"/>
      <charset val="1"/>
    </font>
    <font>
      <b/>
      <sz val="14"/>
      <color indexed="10"/>
      <name val="Arial"/>
      <family val="2"/>
      <charset val="161"/>
    </font>
    <font>
      <b/>
      <sz val="14"/>
      <name val="Arial"/>
      <family val="2"/>
      <charset val="161"/>
    </font>
    <font>
      <b/>
      <sz val="14"/>
      <name val="Arial"/>
      <family val="2"/>
      <charset val="1"/>
    </font>
    <font>
      <b/>
      <sz val="11"/>
      <name val="Arial"/>
      <family val="2"/>
      <charset val="1"/>
    </font>
    <font>
      <sz val="14"/>
      <name val="Arial"/>
      <family val="2"/>
      <charset val="161"/>
    </font>
    <font>
      <sz val="10"/>
      <color indexed="8"/>
      <name val="Times New Roman"/>
      <family val="1"/>
      <charset val="161"/>
    </font>
    <font>
      <sz val="14"/>
      <name val="Tahoma"/>
      <family val="2"/>
      <charset val="161"/>
    </font>
    <font>
      <b/>
      <u/>
      <sz val="14"/>
      <name val="Tahoma"/>
      <family val="2"/>
      <charset val="161"/>
    </font>
    <font>
      <b/>
      <sz val="14"/>
      <name val="Tahoma"/>
      <family val="2"/>
      <charset val="161"/>
    </font>
    <font>
      <sz val="10"/>
      <name val="Tahoma"/>
      <family val="2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10"/>
      <color rgb="FF000000"/>
      <name val="Bookman Old Style"/>
      <family val="1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4"/>
        <bgColor indexed="49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" fillId="0" borderId="0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4" fontId="7" fillId="3" borderId="0" xfId="0" applyNumberFormat="1" applyFont="1" applyFill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4" fontId="1" fillId="0" borderId="13" xfId="0" applyNumberFormat="1" applyFont="1" applyFill="1" applyBorder="1" applyAlignment="1">
      <alignment vertical="center"/>
    </xf>
    <xf numFmtId="4" fontId="1" fillId="0" borderId="14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4" fontId="3" fillId="0" borderId="1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vertical="center"/>
    </xf>
    <xf numFmtId="0" fontId="9" fillId="5" borderId="26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left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4" fontId="3" fillId="5" borderId="14" xfId="0" applyNumberFormat="1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8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29" xfId="0" applyNumberFormat="1" applyFont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8" borderId="30" xfId="0" applyNumberFormat="1" applyFont="1" applyFill="1" applyBorder="1" applyAlignment="1">
      <alignment vertical="center"/>
    </xf>
    <xf numFmtId="4" fontId="22" fillId="8" borderId="9" xfId="0" applyNumberFormat="1" applyFont="1" applyFill="1" applyBorder="1" applyAlignment="1">
      <alignment vertical="center"/>
    </xf>
    <xf numFmtId="3" fontId="22" fillId="8" borderId="30" xfId="0" applyNumberFormat="1" applyFont="1" applyFill="1" applyBorder="1" applyAlignment="1">
      <alignment horizontal="center" vertical="center"/>
    </xf>
    <xf numFmtId="0" fontId="23" fillId="0" borderId="31" xfId="0" applyFont="1" applyBorder="1" applyAlignment="1">
      <alignment vertical="center" wrapText="1"/>
    </xf>
    <xf numFmtId="4" fontId="19" fillId="9" borderId="32" xfId="0" applyNumberFormat="1" applyFont="1" applyFill="1" applyBorder="1" applyAlignment="1">
      <alignment vertical="center"/>
    </xf>
    <xf numFmtId="4" fontId="19" fillId="0" borderId="32" xfId="0" applyNumberFormat="1" applyFont="1" applyFill="1" applyBorder="1" applyAlignment="1">
      <alignment horizontal="right" vertical="center"/>
    </xf>
    <xf numFmtId="4" fontId="22" fillId="10" borderId="32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4" fontId="19" fillId="11" borderId="32" xfId="0" applyNumberFormat="1" applyFont="1" applyFill="1" applyBorder="1" applyAlignment="1">
      <alignment vertical="center"/>
    </xf>
    <xf numFmtId="4" fontId="19" fillId="12" borderId="32" xfId="0" applyNumberFormat="1" applyFont="1" applyFill="1" applyBorder="1" applyAlignment="1">
      <alignment vertical="center"/>
    </xf>
    <xf numFmtId="4" fontId="19" fillId="13" borderId="32" xfId="0" applyNumberFormat="1" applyFont="1" applyFill="1" applyBorder="1" applyAlignment="1">
      <alignment vertical="center"/>
    </xf>
    <xf numFmtId="3" fontId="22" fillId="12" borderId="32" xfId="0" applyNumberFormat="1" applyFont="1" applyFill="1" applyBorder="1" applyAlignment="1">
      <alignment horizontal="center" vertical="center" wrapText="1"/>
    </xf>
    <xf numFmtId="4" fontId="19" fillId="0" borderId="32" xfId="0" applyNumberFormat="1" applyFont="1" applyFill="1" applyBorder="1" applyAlignment="1">
      <alignment vertical="center"/>
    </xf>
    <xf numFmtId="4" fontId="24" fillId="0" borderId="32" xfId="0" applyNumberFormat="1" applyFont="1" applyFill="1" applyBorder="1" applyAlignment="1">
      <alignment vertical="center"/>
    </xf>
    <xf numFmtId="4" fontId="20" fillId="10" borderId="32" xfId="0" applyNumberFormat="1" applyFont="1" applyFill="1" applyBorder="1" applyAlignment="1">
      <alignment vertical="center"/>
    </xf>
    <xf numFmtId="3" fontId="19" fillId="0" borderId="32" xfId="0" applyNumberFormat="1" applyFont="1" applyFill="1" applyBorder="1" applyAlignment="1">
      <alignment horizontal="center" vertical="center"/>
    </xf>
    <xf numFmtId="3" fontId="22" fillId="0" borderId="32" xfId="0" applyNumberFormat="1" applyFont="1" applyFill="1" applyBorder="1" applyAlignment="1">
      <alignment horizontal="center" vertical="center"/>
    </xf>
    <xf numFmtId="4" fontId="21" fillId="10" borderId="32" xfId="0" applyNumberFormat="1" applyFont="1" applyFill="1" applyBorder="1" applyAlignment="1">
      <alignment vertical="center"/>
    </xf>
    <xf numFmtId="4" fontId="19" fillId="9" borderId="32" xfId="0" applyNumberFormat="1" applyFont="1" applyFill="1" applyBorder="1" applyAlignment="1">
      <alignment horizontal="right" vertical="center"/>
    </xf>
    <xf numFmtId="4" fontId="24" fillId="0" borderId="32" xfId="0" applyNumberFormat="1" applyFont="1" applyFill="1" applyBorder="1" applyAlignment="1">
      <alignment horizontal="right" vertical="center"/>
    </xf>
    <xf numFmtId="4" fontId="21" fillId="10" borderId="32" xfId="0" applyNumberFormat="1" applyFont="1" applyFill="1" applyBorder="1" applyAlignment="1">
      <alignment horizontal="right" vertical="center"/>
    </xf>
    <xf numFmtId="0" fontId="22" fillId="8" borderId="28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14" borderId="0" xfId="0" applyFont="1" applyFill="1" applyAlignment="1">
      <alignment vertical="center"/>
    </xf>
    <xf numFmtId="0" fontId="26" fillId="0" borderId="33" xfId="0" applyFont="1" applyBorder="1" applyAlignment="1">
      <alignment vertical="center"/>
    </xf>
    <xf numFmtId="0" fontId="26" fillId="0" borderId="34" xfId="0" applyFont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6" fillId="14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49" fontId="26" fillId="0" borderId="0" xfId="0" applyNumberFormat="1" applyFont="1" applyAlignment="1">
      <alignment vertical="center"/>
    </xf>
    <xf numFmtId="0" fontId="28" fillId="0" borderId="35" xfId="0" applyFont="1" applyBorder="1" applyAlignment="1">
      <alignment vertical="center"/>
    </xf>
    <xf numFmtId="4" fontId="26" fillId="0" borderId="35" xfId="0" applyNumberFormat="1" applyFont="1" applyBorder="1" applyAlignment="1">
      <alignment horizontal="center" vertical="center"/>
    </xf>
    <xf numFmtId="4" fontId="28" fillId="0" borderId="35" xfId="0" applyNumberFormat="1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5" xfId="0" applyFont="1" applyBorder="1" applyAlignment="1">
      <alignment vertical="center"/>
    </xf>
    <xf numFmtId="0" fontId="26" fillId="0" borderId="35" xfId="0" applyFont="1" applyBorder="1" applyAlignment="1">
      <alignment vertical="center" wrapText="1"/>
    </xf>
    <xf numFmtId="4" fontId="1" fillId="0" borderId="35" xfId="0" applyNumberFormat="1" applyFont="1" applyBorder="1" applyAlignment="1">
      <alignment horizontal="center" vertical="center"/>
    </xf>
    <xf numFmtId="4" fontId="1" fillId="0" borderId="35" xfId="0" applyNumberFormat="1" applyFont="1" applyBorder="1" applyAlignment="1">
      <alignment horizontal="center" vertical="center" wrapText="1"/>
    </xf>
    <xf numFmtId="4" fontId="11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8" fillId="0" borderId="35" xfId="0" applyFont="1" applyBorder="1" applyAlignment="1">
      <alignment vertical="center" wrapText="1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34" xfId="0" applyFont="1" applyBorder="1" applyAlignment="1">
      <alignment vertical="center" wrapText="1"/>
    </xf>
    <xf numFmtId="0" fontId="26" fillId="14" borderId="0" xfId="0" applyFont="1" applyFill="1" applyAlignment="1">
      <alignment horizontal="center" vertical="center" wrapText="1"/>
    </xf>
    <xf numFmtId="4" fontId="3" fillId="0" borderId="35" xfId="0" applyNumberFormat="1" applyFont="1" applyBorder="1" applyAlignment="1">
      <alignment vertical="center" wrapText="1"/>
    </xf>
    <xf numFmtId="0" fontId="29" fillId="14" borderId="0" xfId="0" applyFont="1" applyFill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15" borderId="35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top" wrapText="1"/>
    </xf>
    <xf numFmtId="4" fontId="3" fillId="9" borderId="36" xfId="0" applyNumberFormat="1" applyFont="1" applyFill="1" applyBorder="1" applyAlignment="1">
      <alignment horizontal="left" vertical="center"/>
    </xf>
    <xf numFmtId="4" fontId="1" fillId="0" borderId="37" xfId="0" applyNumberFormat="1" applyFont="1" applyBorder="1" applyAlignment="1">
      <alignment vertical="center"/>
    </xf>
    <xf numFmtId="4" fontId="1" fillId="0" borderId="38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23" xfId="0" applyNumberFormat="1" applyFont="1" applyFill="1" applyBorder="1" applyAlignment="1">
      <alignment horizontal="center" vertical="center"/>
    </xf>
    <xf numFmtId="4" fontId="3" fillId="3" borderId="24" xfId="0" applyNumberFormat="1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vertical="center"/>
    </xf>
    <xf numFmtId="4" fontId="4" fillId="6" borderId="38" xfId="0" applyNumberFormat="1" applyFont="1" applyFill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1" fillId="16" borderId="38" xfId="0" applyNumberFormat="1" applyFont="1" applyFill="1" applyBorder="1" applyAlignment="1">
      <alignment horizontal="center" vertical="center"/>
    </xf>
    <xf numFmtId="4" fontId="1" fillId="0" borderId="40" xfId="0" applyNumberFormat="1" applyFont="1" applyBorder="1" applyAlignment="1">
      <alignment vertical="center"/>
    </xf>
    <xf numFmtId="4" fontId="4" fillId="0" borderId="25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Border="1" applyAlignment="1">
      <alignment vertical="center"/>
    </xf>
    <xf numFmtId="4" fontId="1" fillId="0" borderId="23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4" fontId="1" fillId="0" borderId="41" xfId="0" applyNumberFormat="1" applyFont="1" applyBorder="1" applyAlignment="1">
      <alignment vertical="center"/>
    </xf>
    <xf numFmtId="4" fontId="1" fillId="17" borderId="23" xfId="0" applyNumberFormat="1" applyFont="1" applyFill="1" applyBorder="1" applyAlignment="1">
      <alignment vertical="center"/>
    </xf>
    <xf numFmtId="4" fontId="1" fillId="0" borderId="23" xfId="0" applyNumberFormat="1" applyFont="1" applyFill="1" applyBorder="1" applyAlignment="1">
      <alignment vertical="center"/>
    </xf>
    <xf numFmtId="4" fontId="1" fillId="0" borderId="42" xfId="0" applyNumberFormat="1" applyFont="1" applyBorder="1" applyAlignment="1">
      <alignment vertical="center"/>
    </xf>
    <xf numFmtId="0" fontId="9" fillId="0" borderId="29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3" fillId="0" borderId="43" xfId="0" applyFont="1" applyFill="1" applyBorder="1" applyAlignment="1">
      <alignment vertical="top" wrapText="1"/>
    </xf>
    <xf numFmtId="0" fontId="13" fillId="0" borderId="29" xfId="0" applyFont="1" applyFill="1" applyBorder="1" applyAlignment="1">
      <alignment horizontal="left" vertical="top" wrapText="1"/>
    </xf>
    <xf numFmtId="0" fontId="3" fillId="5" borderId="39" xfId="0" applyFont="1" applyFill="1" applyBorder="1" applyAlignment="1">
      <alignment horizontal="center" vertical="center"/>
    </xf>
    <xf numFmtId="4" fontId="3" fillId="5" borderId="24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vertical="center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39" xfId="0" applyNumberFormat="1" applyFont="1" applyFill="1" applyBorder="1" applyAlignment="1">
      <alignment horizontal="center" vertical="center"/>
    </xf>
    <xf numFmtId="4" fontId="1" fillId="0" borderId="43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4" fontId="1" fillId="0" borderId="21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/>
    </xf>
    <xf numFmtId="4" fontId="1" fillId="0" borderId="23" xfId="0" applyNumberFormat="1" applyFont="1" applyBorder="1" applyAlignment="1">
      <alignment horizontal="left" vertical="center"/>
    </xf>
    <xf numFmtId="4" fontId="1" fillId="0" borderId="18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top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3" fillId="3" borderId="46" xfId="0" applyNumberFormat="1" applyFont="1" applyFill="1" applyBorder="1" applyAlignment="1">
      <alignment horizontal="center" vertical="center"/>
    </xf>
    <xf numFmtId="4" fontId="3" fillId="3" borderId="15" xfId="0" applyNumberFormat="1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4" fontId="4" fillId="6" borderId="38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23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4" fontId="14" fillId="6" borderId="5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 wrapText="1"/>
    </xf>
    <xf numFmtId="4" fontId="1" fillId="4" borderId="44" xfId="0" applyNumberFormat="1" applyFont="1" applyFill="1" applyBorder="1" applyAlignment="1">
      <alignment vertical="center" wrapText="1"/>
    </xf>
    <xf numFmtId="4" fontId="1" fillId="4" borderId="45" xfId="0" applyNumberFormat="1" applyFont="1" applyFill="1" applyBorder="1" applyAlignment="1">
      <alignment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" fontId="3" fillId="5" borderId="19" xfId="0" applyNumberFormat="1" applyFont="1" applyFill="1" applyBorder="1" applyAlignment="1">
      <alignment horizontal="center" vertical="center" wrapText="1"/>
    </xf>
    <xf numFmtId="4" fontId="3" fillId="5" borderId="27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0" fillId="7" borderId="38" xfId="0" applyFill="1" applyBorder="1"/>
    <xf numFmtId="0" fontId="3" fillId="5" borderId="18" xfId="0" applyFont="1" applyFill="1" applyBorder="1" applyAlignment="1">
      <alignment horizontal="center" vertical="center"/>
    </xf>
    <xf numFmtId="0" fontId="0" fillId="7" borderId="0" xfId="0" applyFill="1" applyBorder="1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4" fillId="0" borderId="47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6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/>
    </xf>
    <xf numFmtId="0" fontId="22" fillId="8" borderId="31" xfId="0" applyFont="1" applyFill="1" applyBorder="1" applyAlignment="1">
      <alignment horizontal="center" vertical="center"/>
    </xf>
    <xf numFmtId="0" fontId="22" fillId="8" borderId="51" xfId="0" applyFont="1" applyFill="1" applyBorder="1" applyAlignment="1">
      <alignment horizontal="center" vertical="center"/>
    </xf>
    <xf numFmtId="0" fontId="22" fillId="8" borderId="32" xfId="0" applyFont="1" applyFill="1" applyBorder="1" applyAlignment="1">
      <alignment horizontal="center" vertical="center"/>
    </xf>
    <xf numFmtId="0" fontId="22" fillId="8" borderId="51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/>
    </xf>
    <xf numFmtId="0" fontId="22" fillId="8" borderId="5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th1/Downloads/&#931;&#928;&#919;&#923;&#921;&#927;&#928;&#927;&#933;&#923;&#917;&#921;&#927;/2014/&#927;&#921;&#922;&#927;&#925;&#927;&#924;&#921;&#922;&#917;&#931;%20&#922;&#913;&#932;&#913;&#931;&#932;&#913;&#931;&#917;&#921;&#931;%202014_&#931;&#928;&#919;&#923;&#921;&#927;&#928;&#927;&#933;&#923;&#917;&#921;&#92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Ισολογισμός"/>
      <sheetName val="Λογ.Εκμετάλλευσης"/>
      <sheetName val="Μεταβ_Παγίων"/>
      <sheetName val="Πίνακες Προσαρτήματος"/>
      <sheetName val="ΦύλλοΜερισμού"/>
    </sheetNames>
    <sheetDataSet>
      <sheetData sheetId="0">
        <row r="9">
          <cell r="E9">
            <v>98186.55</v>
          </cell>
          <cell r="G9">
            <v>98186.55</v>
          </cell>
          <cell r="K9">
            <v>98186.55</v>
          </cell>
          <cell r="M9">
            <v>98186.55</v>
          </cell>
        </row>
        <row r="13">
          <cell r="E13">
            <v>8263850.6500000004</v>
          </cell>
          <cell r="G13">
            <v>0</v>
          </cell>
          <cell r="K13">
            <v>8263850.6500000004</v>
          </cell>
          <cell r="M13">
            <v>0</v>
          </cell>
        </row>
        <row r="14">
          <cell r="E14">
            <v>5162652.9399999995</v>
          </cell>
          <cell r="K14">
            <v>5162652.9399999995</v>
          </cell>
          <cell r="M14">
            <v>3064550.94</v>
          </cell>
        </row>
        <row r="15">
          <cell r="K15">
            <v>769794.61</v>
          </cell>
          <cell r="M15">
            <v>535463.38</v>
          </cell>
        </row>
        <row r="16">
          <cell r="E16">
            <v>0</v>
          </cell>
          <cell r="G16">
            <v>0</v>
          </cell>
          <cell r="K16">
            <v>0</v>
          </cell>
          <cell r="M16">
            <v>0</v>
          </cell>
        </row>
        <row r="17">
          <cell r="K17">
            <v>392105.88</v>
          </cell>
          <cell r="M17">
            <v>374904.41</v>
          </cell>
        </row>
        <row r="18">
          <cell r="G18">
            <v>0</v>
          </cell>
          <cell r="K18">
            <v>4182</v>
          </cell>
          <cell r="M18">
            <v>0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BR145"/>
  <sheetViews>
    <sheetView tabSelected="1" view="pageBreakPreview" topLeftCell="G82" zoomScale="70" zoomScaleNormal="70" zoomScaleSheetLayoutView="70" workbookViewId="0">
      <selection activeCell="U40" sqref="U40"/>
    </sheetView>
  </sheetViews>
  <sheetFormatPr defaultRowHeight="15"/>
  <cols>
    <col min="1" max="1" width="3" style="2" customWidth="1"/>
    <col min="2" max="2" width="3.85546875" style="2" customWidth="1"/>
    <col min="3" max="3" width="6.85546875" style="2" customWidth="1"/>
    <col min="4" max="4" width="58.5703125" style="2" customWidth="1"/>
    <col min="5" max="5" width="17.5703125" style="2" customWidth="1"/>
    <col min="6" max="6" width="2.28515625" style="2" customWidth="1"/>
    <col min="7" max="7" width="16.5703125" style="2" customWidth="1"/>
    <col min="8" max="8" width="1.85546875" style="2" customWidth="1"/>
    <col min="9" max="9" width="16.85546875" style="2" customWidth="1"/>
    <col min="10" max="10" width="2.7109375" style="2" customWidth="1"/>
    <col min="11" max="11" width="17.140625" style="2" customWidth="1"/>
    <col min="12" max="12" width="1.7109375" style="2" customWidth="1"/>
    <col min="13" max="13" width="17.28515625" style="2" customWidth="1"/>
    <col min="14" max="14" width="1.5703125" style="2" customWidth="1"/>
    <col min="15" max="15" width="20" style="2" customWidth="1"/>
    <col min="16" max="16" width="0" style="2" hidden="1" customWidth="1"/>
    <col min="17" max="17" width="2" style="5" customWidth="1"/>
    <col min="18" max="18" width="6" style="2" customWidth="1"/>
    <col min="19" max="19" width="57.42578125" style="2" customWidth="1"/>
    <col min="20" max="20" width="21.7109375" style="2" customWidth="1"/>
    <col min="21" max="21" width="21.5703125" style="2" customWidth="1"/>
    <col min="22" max="22" width="1.7109375" style="2" customWidth="1"/>
    <col min="23" max="23" width="16" style="2" customWidth="1"/>
    <col min="24" max="24" width="26.85546875" style="2" customWidth="1"/>
    <col min="25" max="25" width="2.42578125" style="2" customWidth="1"/>
    <col min="26" max="26" width="17.85546875" style="2" hidden="1" customWidth="1"/>
    <col min="27" max="32" width="9.140625" style="2" hidden="1" customWidth="1"/>
    <col min="33" max="33" width="2" style="2" hidden="1" customWidth="1"/>
    <col min="34" max="34" width="20.28515625" style="2" hidden="1" customWidth="1"/>
    <col min="35" max="35" width="15.28515625" style="35" hidden="1" customWidth="1"/>
    <col min="36" max="36" width="21.42578125" style="35" hidden="1" customWidth="1"/>
    <col min="37" max="37" width="26.28515625" style="2" hidden="1" customWidth="1"/>
    <col min="38" max="39" width="0" style="2" hidden="1" customWidth="1"/>
    <col min="40" max="40" width="13.42578125" style="2" hidden="1" customWidth="1"/>
    <col min="41" max="41" width="12" style="2" hidden="1" customWidth="1"/>
    <col min="42" max="68" width="0" style="2" hidden="1" customWidth="1"/>
    <col min="69" max="69" width="2.42578125" style="2" customWidth="1"/>
    <col min="70" max="70" width="15.42578125" style="2" customWidth="1"/>
    <col min="71" max="16384" width="9.140625" style="2"/>
  </cols>
  <sheetData>
    <row r="1" spans="3:25" ht="15.75" thickBot="1">
      <c r="C1" s="184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6"/>
    </row>
    <row r="2" spans="3:25" ht="20.25" customHeight="1">
      <c r="C2" s="241" t="str">
        <f>Λογ.Εκμετάλλευσης!C2</f>
        <v xml:space="preserve">ΕΛΛΗΝΙΚΗ ΔΗΜΟΚΡΑΤΙΑ 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187"/>
    </row>
    <row r="3" spans="3:25" ht="20.25" customHeight="1">
      <c r="C3" s="243" t="str">
        <f>Λογ.Εκμετάλλευσης!C3</f>
        <v>1η Υ.ΠΕ.  ΑΤΤΙΚΗΣ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188"/>
    </row>
    <row r="4" spans="3:25" ht="20.25" customHeight="1">
      <c r="C4" s="243" t="str">
        <f>CONCATENATE(Λογ.Εκμετάλλευσης!C4,"   ",Λογ.Εκμετάλλευσης!C5)</f>
        <v>ΠΑΘΟΛΟΓΙΚΟ  ΝΟΣΟΚΟΜΕΙΟ  ΑΘΗΝΩΝ   ΣΠΗΛΙΟΠΟΥΛΕΙΟ  "Η  ΑΓΙΑ  ΕΛΕΝΗ"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188"/>
    </row>
    <row r="5" spans="3:25" ht="21" customHeight="1">
      <c r="C5" s="243" t="str">
        <f>CONCATENATE("ΙΣΟΛΟΓΙΣΜΟΣ  ΤΗΣ ",RIGHT(Λογ.Εκμετάλλευσης!C7,20))</f>
        <v>ΙΣΟΛΟΓΙΣΜΟΣ  ΤΗΣ 31ης ΔΕΚΕΜΒΡΙΟΥ 2015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188"/>
    </row>
    <row r="6" spans="3:25" ht="21" customHeight="1">
      <c r="C6" s="256" t="s">
        <v>234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189"/>
    </row>
    <row r="7" spans="3:25" ht="66" customHeight="1">
      <c r="C7" s="184"/>
      <c r="D7" s="190" t="s">
        <v>36</v>
      </c>
      <c r="E7" s="246" t="str">
        <f>+Λογ.Εκμετάλλευσης!F9</f>
        <v>Ποσά κλειόμενης χρήσης
2015</v>
      </c>
      <c r="F7" s="246"/>
      <c r="G7" s="246"/>
      <c r="H7" s="246"/>
      <c r="I7" s="246"/>
      <c r="J7" s="192"/>
      <c r="K7" s="246" t="str">
        <f>+Λογ.Εκμετάλλευσης!J9</f>
        <v>Ποσά προηγούμενης χρήσης 
2014</v>
      </c>
      <c r="L7" s="246"/>
      <c r="M7" s="246"/>
      <c r="N7" s="246"/>
      <c r="O7" s="246"/>
      <c r="P7" s="193" t="s">
        <v>37</v>
      </c>
      <c r="Q7" s="185"/>
      <c r="R7" s="194"/>
      <c r="S7" s="190" t="s">
        <v>38</v>
      </c>
      <c r="T7" s="190"/>
      <c r="U7" s="191" t="str">
        <f>+E7</f>
        <v>Ποσά κλειόμενης χρήσης
2015</v>
      </c>
      <c r="V7" s="192"/>
      <c r="W7" s="192"/>
      <c r="X7" s="191" t="str">
        <f>+K7</f>
        <v>Ποσά προηγούμενης χρήσης 
2014</v>
      </c>
      <c r="Y7" s="195"/>
    </row>
    <row r="8" spans="3:25" ht="15.75" thickBot="1">
      <c r="C8" s="196" t="s">
        <v>39</v>
      </c>
      <c r="D8" s="15" t="s">
        <v>40</v>
      </c>
      <c r="E8" s="38" t="s">
        <v>41</v>
      </c>
      <c r="F8" s="39"/>
      <c r="G8" s="38" t="s">
        <v>42</v>
      </c>
      <c r="H8" s="39"/>
      <c r="I8" s="38" t="s">
        <v>43</v>
      </c>
      <c r="J8" s="39"/>
      <c r="K8" s="38" t="s">
        <v>41</v>
      </c>
      <c r="L8" s="39"/>
      <c r="M8" s="38" t="s">
        <v>42</v>
      </c>
      <c r="N8" s="39"/>
      <c r="O8" s="38" t="s">
        <v>43</v>
      </c>
      <c r="P8" s="39"/>
      <c r="R8" s="37" t="s">
        <v>44</v>
      </c>
      <c r="S8" s="15" t="s">
        <v>45</v>
      </c>
      <c r="T8" s="15"/>
      <c r="U8" s="5"/>
      <c r="V8" s="5"/>
      <c r="W8" s="5"/>
      <c r="X8" s="5"/>
      <c r="Y8" s="197"/>
    </row>
    <row r="9" spans="3:25" ht="15" customHeight="1">
      <c r="C9" s="198"/>
      <c r="D9" s="5" t="s">
        <v>46</v>
      </c>
      <c r="E9" s="40">
        <f>G9+I9</f>
        <v>98186.55</v>
      </c>
      <c r="F9" s="5"/>
      <c r="G9" s="5">
        <v>98186.55</v>
      </c>
      <c r="H9" s="5"/>
      <c r="I9" s="5">
        <v>0</v>
      </c>
      <c r="J9" s="40"/>
      <c r="K9" s="40">
        <f>M9+O9</f>
        <v>98186.55</v>
      </c>
      <c r="L9" s="5"/>
      <c r="M9" s="5">
        <v>98186.55</v>
      </c>
      <c r="N9" s="5"/>
      <c r="O9" s="5">
        <v>0</v>
      </c>
      <c r="P9" s="5"/>
      <c r="R9" s="37" t="s">
        <v>47</v>
      </c>
      <c r="S9" s="15" t="s">
        <v>48</v>
      </c>
      <c r="T9" s="15"/>
      <c r="U9" s="40">
        <v>13628249.710000001</v>
      </c>
      <c r="V9" s="5"/>
      <c r="W9" s="5"/>
      <c r="X9" s="40">
        <v>13628249.710000001</v>
      </c>
      <c r="Y9" s="197"/>
    </row>
    <row r="10" spans="3:25" ht="15.75" thickBot="1">
      <c r="C10" s="198"/>
      <c r="D10" s="5"/>
      <c r="E10" s="199">
        <f>E9</f>
        <v>98186.55</v>
      </c>
      <c r="F10" s="5"/>
      <c r="G10" s="199">
        <f>G9</f>
        <v>98186.55</v>
      </c>
      <c r="H10" s="5"/>
      <c r="I10" s="41">
        <f>I9</f>
        <v>0</v>
      </c>
      <c r="J10" s="40"/>
      <c r="K10" s="199">
        <f>K9</f>
        <v>98186.55</v>
      </c>
      <c r="L10" s="5"/>
      <c r="M10" s="199">
        <f>M9</f>
        <v>98186.55</v>
      </c>
      <c r="N10" s="5"/>
      <c r="O10" s="41">
        <f>O9</f>
        <v>0</v>
      </c>
      <c r="P10" s="5"/>
      <c r="R10" s="36"/>
      <c r="S10" s="5"/>
      <c r="T10" s="5"/>
      <c r="U10" s="12">
        <f>U9</f>
        <v>13628249.710000001</v>
      </c>
      <c r="V10" s="5"/>
      <c r="W10" s="5"/>
      <c r="X10" s="12">
        <f>X9</f>
        <v>13628249.710000001</v>
      </c>
      <c r="Y10" s="197"/>
    </row>
    <row r="11" spans="3:25" ht="15.75" thickTop="1">
      <c r="C11" s="196" t="s">
        <v>49</v>
      </c>
      <c r="D11" s="15" t="s">
        <v>50</v>
      </c>
      <c r="E11" s="40"/>
      <c r="F11" s="40"/>
      <c r="G11" s="40"/>
      <c r="H11" s="40"/>
      <c r="I11" s="42"/>
      <c r="J11" s="40"/>
      <c r="K11" s="5"/>
      <c r="L11" s="5"/>
      <c r="M11" s="5"/>
      <c r="N11" s="5"/>
      <c r="O11" s="42"/>
      <c r="P11" s="5"/>
      <c r="R11" s="37"/>
      <c r="S11" s="15"/>
      <c r="T11" s="15"/>
      <c r="U11" s="5"/>
      <c r="V11" s="5"/>
      <c r="W11" s="5"/>
      <c r="X11" s="5"/>
      <c r="Y11" s="197"/>
    </row>
    <row r="12" spans="3:25">
      <c r="C12" s="196" t="s">
        <v>51</v>
      </c>
      <c r="D12" s="19" t="s">
        <v>52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5"/>
      <c r="R12" s="37" t="s">
        <v>51</v>
      </c>
      <c r="S12" s="15" t="s">
        <v>53</v>
      </c>
      <c r="T12" s="15"/>
      <c r="U12" s="5"/>
      <c r="V12" s="5"/>
      <c r="W12" s="5"/>
      <c r="X12" s="5"/>
      <c r="Y12" s="197"/>
    </row>
    <row r="13" spans="3:25">
      <c r="C13" s="198"/>
      <c r="D13" s="40" t="s">
        <v>54</v>
      </c>
      <c r="E13" s="40">
        <f>G13+I13</f>
        <v>8263850.6500000004</v>
      </c>
      <c r="F13" s="40"/>
      <c r="G13" s="40">
        <v>0</v>
      </c>
      <c r="H13" s="40"/>
      <c r="I13" s="40">
        <v>8263850.6500000004</v>
      </c>
      <c r="J13" s="40"/>
      <c r="K13" s="40">
        <f>M13+O13</f>
        <v>8263850.6500000004</v>
      </c>
      <c r="L13" s="40"/>
      <c r="M13" s="40">
        <v>0</v>
      </c>
      <c r="N13" s="40"/>
      <c r="O13" s="40">
        <v>8263850.6500000004</v>
      </c>
      <c r="P13" s="5"/>
      <c r="R13" s="36"/>
      <c r="S13" s="15" t="s">
        <v>55</v>
      </c>
      <c r="T13" s="15"/>
      <c r="U13" s="5"/>
      <c r="V13" s="5"/>
      <c r="W13" s="5"/>
      <c r="X13" s="5"/>
      <c r="Y13" s="197"/>
    </row>
    <row r="14" spans="3:25">
      <c r="C14" s="198"/>
      <c r="D14" s="5" t="s">
        <v>56</v>
      </c>
      <c r="E14" s="40">
        <f>G14+I14</f>
        <v>5162652.9400000004</v>
      </c>
      <c r="F14" s="40"/>
      <c r="G14" s="40">
        <v>3480087.14</v>
      </c>
      <c r="H14" s="40"/>
      <c r="I14" s="40">
        <v>1682565.8</v>
      </c>
      <c r="J14" s="40"/>
      <c r="K14" s="40">
        <f>M14+O14</f>
        <v>5162652.9399999995</v>
      </c>
      <c r="L14" s="5"/>
      <c r="M14" s="40">
        <v>3272319.04</v>
      </c>
      <c r="N14" s="40"/>
      <c r="O14" s="40">
        <v>1890333.9</v>
      </c>
      <c r="P14" s="5"/>
      <c r="R14" s="36"/>
      <c r="S14" s="5" t="s">
        <v>57</v>
      </c>
      <c r="T14" s="5"/>
      <c r="U14" s="40">
        <v>0.01</v>
      </c>
      <c r="V14" s="5"/>
      <c r="W14" s="5"/>
      <c r="X14" s="40">
        <v>0.01</v>
      </c>
      <c r="Y14" s="200"/>
    </row>
    <row r="15" spans="3:25">
      <c r="C15" s="198"/>
      <c r="D15" s="44" t="s">
        <v>172</v>
      </c>
      <c r="E15" s="40">
        <v>592404.98</v>
      </c>
      <c r="F15" s="40"/>
      <c r="G15" s="40">
        <v>416571.99</v>
      </c>
      <c r="H15" s="40"/>
      <c r="I15" s="72">
        <f>E15-G15</f>
        <v>175832.99</v>
      </c>
      <c r="J15" s="40"/>
      <c r="K15" s="40">
        <v>769893.01</v>
      </c>
      <c r="L15" s="5"/>
      <c r="M15" s="40">
        <f>565249.29</f>
        <v>565249.29</v>
      </c>
      <c r="N15" s="40"/>
      <c r="O15" s="72">
        <f>K15-M15</f>
        <v>204643.71999999997</v>
      </c>
      <c r="P15" s="5"/>
      <c r="R15" s="36"/>
      <c r="S15" s="5" t="s">
        <v>58</v>
      </c>
      <c r="T15" s="5"/>
      <c r="U15" s="40">
        <f>25000+248997.7-93202.44</f>
        <v>180795.26</v>
      </c>
      <c r="V15" s="5"/>
      <c r="W15" s="5"/>
      <c r="X15" s="40">
        <v>206956.87</v>
      </c>
      <c r="Y15" s="197"/>
    </row>
    <row r="16" spans="3:25" ht="15.75" thickBot="1">
      <c r="C16" s="198"/>
      <c r="D16" s="5" t="s">
        <v>59</v>
      </c>
      <c r="E16" s="40">
        <f>G16+I16</f>
        <v>0</v>
      </c>
      <c r="F16" s="40"/>
      <c r="G16" s="40">
        <v>0</v>
      </c>
      <c r="H16" s="40"/>
      <c r="I16" s="40">
        <v>0</v>
      </c>
      <c r="J16" s="40"/>
      <c r="K16" s="40">
        <f>M16+O16</f>
        <v>0</v>
      </c>
      <c r="L16" s="5"/>
      <c r="M16" s="40">
        <v>0</v>
      </c>
      <c r="N16" s="40"/>
      <c r="O16" s="40">
        <v>0</v>
      </c>
      <c r="P16" s="5"/>
      <c r="R16" s="36"/>
      <c r="S16" s="5"/>
      <c r="T16" s="5"/>
      <c r="U16" s="199">
        <f>SUM(U14:U15)</f>
        <v>180795.27000000002</v>
      </c>
      <c r="V16" s="5"/>
      <c r="W16" s="5"/>
      <c r="X16" s="199">
        <f>SUM(X14:X15)</f>
        <v>206956.88</v>
      </c>
      <c r="Y16" s="197"/>
    </row>
    <row r="17" spans="3:59" ht="15.75" thickTop="1">
      <c r="C17" s="198"/>
      <c r="D17" s="5" t="s">
        <v>60</v>
      </c>
      <c r="E17" s="40">
        <f>G17+I17</f>
        <v>337316.26999999996</v>
      </c>
      <c r="F17" s="40"/>
      <c r="G17" s="40">
        <f>343601.47-18621.36</f>
        <v>324980.11</v>
      </c>
      <c r="H17" s="40"/>
      <c r="I17" s="40">
        <v>12336.16</v>
      </c>
      <c r="J17" s="40"/>
      <c r="K17" s="40">
        <f>M17+O17</f>
        <v>392164.92</v>
      </c>
      <c r="L17" s="40"/>
      <c r="M17" s="40">
        <v>382436.17</v>
      </c>
      <c r="N17" s="40"/>
      <c r="O17" s="40">
        <v>9728.75</v>
      </c>
      <c r="P17" s="5"/>
      <c r="R17" s="37" t="s">
        <v>61</v>
      </c>
      <c r="S17" s="15" t="s">
        <v>62</v>
      </c>
      <c r="T17" s="15"/>
      <c r="U17" s="5"/>
      <c r="V17" s="5"/>
      <c r="W17" s="5"/>
      <c r="X17" s="5"/>
      <c r="Y17" s="197"/>
    </row>
    <row r="18" spans="3:59">
      <c r="C18" s="198"/>
      <c r="D18" s="5" t="s">
        <v>63</v>
      </c>
      <c r="E18" s="40">
        <v>0</v>
      </c>
      <c r="F18" s="40"/>
      <c r="G18" s="45">
        <v>0</v>
      </c>
      <c r="H18" s="40"/>
      <c r="I18" s="45">
        <v>0</v>
      </c>
      <c r="J18" s="40"/>
      <c r="K18" s="40">
        <v>0</v>
      </c>
      <c r="L18" s="40"/>
      <c r="M18" s="45">
        <v>0</v>
      </c>
      <c r="N18" s="40"/>
      <c r="O18" s="45">
        <v>0</v>
      </c>
      <c r="P18" s="5"/>
      <c r="R18" s="37"/>
      <c r="S18" s="5" t="s">
        <v>64</v>
      </c>
      <c r="T18" s="5"/>
      <c r="U18" s="40">
        <v>1821158.01</v>
      </c>
      <c r="V18" s="5"/>
      <c r="W18" s="5"/>
      <c r="X18" s="40">
        <v>1301158.02</v>
      </c>
      <c r="Y18" s="197"/>
    </row>
    <row r="19" spans="3:59" ht="15.75" thickBot="1">
      <c r="C19" s="198"/>
      <c r="D19" s="15" t="s">
        <v>65</v>
      </c>
      <c r="E19" s="199">
        <f>SUM(E13:E18)</f>
        <v>14356224.84</v>
      </c>
      <c r="F19" s="40"/>
      <c r="G19" s="199">
        <f>SUM(G13:G18)</f>
        <v>4221639.24</v>
      </c>
      <c r="H19" s="5"/>
      <c r="I19" s="199">
        <f>SUM(I13:I18)</f>
        <v>10134585.600000001</v>
      </c>
      <c r="J19" s="40"/>
      <c r="K19" s="199">
        <f>SUM(K13:K18)</f>
        <v>14588561.52</v>
      </c>
      <c r="L19" s="40"/>
      <c r="M19" s="199">
        <f>SUM(M13:M18)</f>
        <v>4220004.5</v>
      </c>
      <c r="N19" s="5"/>
      <c r="O19" s="199">
        <f>SUM(O13:O18)</f>
        <v>10368557.020000001</v>
      </c>
      <c r="P19" s="5"/>
      <c r="R19" s="36"/>
      <c r="S19" s="5" t="s">
        <v>174</v>
      </c>
      <c r="T19" s="5"/>
      <c r="U19" s="5">
        <v>0</v>
      </c>
      <c r="V19" s="5"/>
      <c r="W19" s="5"/>
      <c r="X19" s="5">
        <v>0</v>
      </c>
      <c r="Y19" s="197"/>
      <c r="Z19" s="2" t="s">
        <v>66</v>
      </c>
      <c r="AH19" s="46" t="e">
        <f>#REF!+X14</f>
        <v>#REF!</v>
      </c>
    </row>
    <row r="20" spans="3:59" ht="16.5" thickTop="1" thickBot="1">
      <c r="C20" s="198"/>
      <c r="D20" s="5"/>
      <c r="E20" s="5"/>
      <c r="F20" s="40"/>
      <c r="G20" s="5"/>
      <c r="H20" s="5"/>
      <c r="I20" s="5"/>
      <c r="J20" s="5"/>
      <c r="K20" s="5"/>
      <c r="L20" s="40"/>
      <c r="M20" s="5"/>
      <c r="N20" s="5"/>
      <c r="O20" s="5"/>
      <c r="P20" s="5"/>
      <c r="R20" s="36"/>
      <c r="S20" s="5"/>
      <c r="T20" s="5"/>
      <c r="U20" s="199">
        <f>+U18+U19</f>
        <v>1821158.01</v>
      </c>
      <c r="V20" s="5"/>
      <c r="W20" s="5"/>
      <c r="X20" s="199">
        <f>+X18+X19</f>
        <v>1301158.02</v>
      </c>
      <c r="Y20" s="197"/>
      <c r="Z20" s="5"/>
    </row>
    <row r="21" spans="3:59" ht="15.75" thickTop="1">
      <c r="C21" s="196" t="s">
        <v>61</v>
      </c>
      <c r="D21" s="15" t="s">
        <v>67</v>
      </c>
      <c r="E21" s="47"/>
      <c r="F21" s="47"/>
      <c r="G21" s="5"/>
      <c r="H21" s="4"/>
      <c r="I21" s="5"/>
      <c r="J21" s="5"/>
      <c r="K21" s="47"/>
      <c r="L21" s="47"/>
      <c r="M21" s="5"/>
      <c r="N21" s="4"/>
      <c r="O21" s="5"/>
      <c r="P21" s="5"/>
      <c r="R21" s="37" t="s">
        <v>68</v>
      </c>
      <c r="S21" s="15" t="s">
        <v>69</v>
      </c>
      <c r="T21" s="15"/>
      <c r="U21" s="5"/>
      <c r="V21" s="5"/>
      <c r="W21" s="5"/>
      <c r="X21" s="5"/>
      <c r="Y21" s="197"/>
      <c r="Z21" s="5"/>
    </row>
    <row r="22" spans="3:59">
      <c r="C22" s="198"/>
      <c r="D22" s="15" t="s">
        <v>70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R22" s="36"/>
      <c r="S22" s="5" t="s">
        <v>175</v>
      </c>
      <c r="T22" s="5"/>
      <c r="U22" s="40">
        <v>0</v>
      </c>
      <c r="V22" s="5"/>
      <c r="W22" s="5"/>
      <c r="X22" s="40">
        <v>0</v>
      </c>
      <c r="Y22" s="201"/>
    </row>
    <row r="23" spans="3:59">
      <c r="C23" s="198"/>
      <c r="D23" s="5" t="s">
        <v>71</v>
      </c>
      <c r="E23" s="5"/>
      <c r="F23" s="5"/>
      <c r="G23" s="40">
        <v>0</v>
      </c>
      <c r="H23" s="75"/>
      <c r="I23" s="40"/>
      <c r="J23" s="5"/>
      <c r="K23" s="5"/>
      <c r="L23" s="5"/>
      <c r="M23" s="40">
        <v>0</v>
      </c>
      <c r="N23" s="75"/>
      <c r="O23" s="40"/>
      <c r="P23" s="5"/>
      <c r="R23" s="36"/>
      <c r="S23" s="5" t="s">
        <v>169</v>
      </c>
      <c r="T23" s="5"/>
      <c r="U23" s="5">
        <f>+U69+U70+U71</f>
        <v>-328781.23000000004</v>
      </c>
      <c r="V23" s="5"/>
      <c r="W23" s="5"/>
      <c r="X23" s="5">
        <f>+X69+X70+X71</f>
        <v>-329977.49</v>
      </c>
      <c r="Y23" s="201"/>
    </row>
    <row r="24" spans="3:59">
      <c r="C24" s="198"/>
      <c r="D24" s="5" t="s">
        <v>72</v>
      </c>
      <c r="E24" s="5"/>
      <c r="F24" s="5"/>
      <c r="G24" s="49">
        <v>0</v>
      </c>
      <c r="H24" s="40"/>
      <c r="I24" s="45">
        <f>SUM(G23:G24)</f>
        <v>0</v>
      </c>
      <c r="J24" s="5"/>
      <c r="K24" s="5"/>
      <c r="L24" s="5"/>
      <c r="M24" s="49">
        <v>0</v>
      </c>
      <c r="N24" s="40"/>
      <c r="O24" s="45">
        <f>SUM(M23:M24)</f>
        <v>0</v>
      </c>
      <c r="P24" s="5"/>
      <c r="R24" s="36"/>
      <c r="S24" s="5" t="s">
        <v>170</v>
      </c>
      <c r="T24" s="5"/>
      <c r="U24" s="40">
        <f>+X25</f>
        <v>-3377985.88</v>
      </c>
      <c r="V24" s="5"/>
      <c r="W24" s="5"/>
      <c r="X24" s="40">
        <f>X73</f>
        <v>-3048008.39</v>
      </c>
      <c r="Y24" s="201"/>
      <c r="AH24" s="2" t="e">
        <f>X24+AH19-163559.23</f>
        <v>#REF!</v>
      </c>
    </row>
    <row r="25" spans="3:59" ht="15.75" thickBot="1">
      <c r="C25" s="198"/>
      <c r="D25" s="5"/>
      <c r="E25" s="5"/>
      <c r="F25" s="5"/>
      <c r="G25" s="48"/>
      <c r="H25" s="48"/>
      <c r="I25" s="5"/>
      <c r="J25" s="5"/>
      <c r="K25" s="5"/>
      <c r="L25" s="5"/>
      <c r="M25" s="48"/>
      <c r="N25" s="48"/>
      <c r="O25" s="5"/>
      <c r="P25" s="5"/>
      <c r="R25" s="36"/>
      <c r="S25" s="5"/>
      <c r="T25" s="5"/>
      <c r="U25" s="199">
        <f>SUM(U22:U24)</f>
        <v>-3706767.11</v>
      </c>
      <c r="V25" s="5"/>
      <c r="W25" s="5"/>
      <c r="X25" s="199">
        <f>SUM(X22:X24)</f>
        <v>-3377985.88</v>
      </c>
      <c r="Y25" s="197"/>
    </row>
    <row r="26" spans="3:59" ht="16.5" thickTop="1" thickBot="1">
      <c r="C26" s="198"/>
      <c r="D26" s="15" t="s">
        <v>73</v>
      </c>
      <c r="E26" s="5"/>
      <c r="F26" s="5"/>
      <c r="G26" s="5"/>
      <c r="H26" s="5"/>
      <c r="I26" s="16">
        <f>I19+I24</f>
        <v>10134585.600000001</v>
      </c>
      <c r="J26" s="5"/>
      <c r="K26" s="5"/>
      <c r="L26" s="5"/>
      <c r="M26" s="5"/>
      <c r="N26" s="5"/>
      <c r="O26" s="16">
        <f>O19+O24</f>
        <v>10368557.020000001</v>
      </c>
      <c r="P26" s="5"/>
      <c r="R26" s="36"/>
      <c r="S26" s="5"/>
      <c r="T26" s="5"/>
      <c r="U26" s="5"/>
      <c r="V26" s="5"/>
      <c r="W26" s="5"/>
      <c r="X26" s="5"/>
      <c r="Y26" s="197"/>
    </row>
    <row r="27" spans="3:59" ht="16.5" thickTop="1" thickBot="1">
      <c r="C27" s="198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R27" s="36"/>
      <c r="S27" s="5" t="s">
        <v>74</v>
      </c>
      <c r="T27" s="5"/>
      <c r="U27" s="16">
        <f>U10+U16+U20+U25</f>
        <v>11923435.880000001</v>
      </c>
      <c r="V27" s="5"/>
      <c r="W27" s="5"/>
      <c r="X27" s="16">
        <f>X10+X16+X20+X25</f>
        <v>11758378.73</v>
      </c>
      <c r="Y27" s="197"/>
    </row>
    <row r="28" spans="3:59" ht="15.75" thickTop="1">
      <c r="C28" s="196" t="s">
        <v>75</v>
      </c>
      <c r="D28" s="15" t="s">
        <v>76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R28" s="36"/>
      <c r="S28" s="5"/>
      <c r="T28" s="5"/>
      <c r="U28" s="5"/>
      <c r="V28" s="5"/>
      <c r="W28" s="5"/>
      <c r="X28" s="5"/>
      <c r="Y28" s="197"/>
    </row>
    <row r="29" spans="3:59">
      <c r="C29" s="196" t="s">
        <v>47</v>
      </c>
      <c r="D29" s="15" t="s">
        <v>77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R29" s="37" t="s">
        <v>78</v>
      </c>
      <c r="S29" s="15" t="s">
        <v>79</v>
      </c>
      <c r="T29" s="15"/>
      <c r="U29" s="5"/>
      <c r="V29" s="5"/>
      <c r="W29" s="5"/>
      <c r="X29" s="5"/>
      <c r="Y29" s="197"/>
      <c r="AI29" s="263" t="s">
        <v>80</v>
      </c>
      <c r="AJ29" s="263"/>
      <c r="AK29" s="263"/>
    </row>
    <row r="30" spans="3:59" ht="15.75" thickBot="1">
      <c r="C30" s="196"/>
      <c r="D30" s="5" t="s">
        <v>81</v>
      </c>
      <c r="E30" s="5"/>
      <c r="F30" s="5"/>
      <c r="G30" s="5"/>
      <c r="H30" s="5"/>
      <c r="I30" s="41">
        <v>70795.69</v>
      </c>
      <c r="J30" s="5"/>
      <c r="K30" s="5"/>
      <c r="L30" s="5"/>
      <c r="M30" s="5"/>
      <c r="N30" s="5"/>
      <c r="O30" s="41">
        <v>95599.58</v>
      </c>
      <c r="P30" s="5"/>
      <c r="R30" s="36"/>
      <c r="S30" s="5" t="s">
        <v>82</v>
      </c>
      <c r="T30" s="5"/>
      <c r="U30" s="45">
        <v>0</v>
      </c>
      <c r="V30" s="5"/>
      <c r="W30" s="5"/>
      <c r="X30" s="45">
        <v>0</v>
      </c>
      <c r="Y30" s="197"/>
      <c r="AA30" s="2">
        <f>252724-9054.05</f>
        <v>243669.95</v>
      </c>
      <c r="AH30" s="2" t="s">
        <v>158</v>
      </c>
      <c r="AI30" s="50" t="s">
        <v>83</v>
      </c>
      <c r="AJ30" s="51" t="s">
        <v>84</v>
      </c>
      <c r="AK30" s="51" t="s">
        <v>85</v>
      </c>
      <c r="BG30" s="2">
        <v>5216656.76</v>
      </c>
    </row>
    <row r="31" spans="3:59" ht="16.5" thickTop="1" thickBot="1">
      <c r="C31" s="19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R31" s="36"/>
      <c r="S31" s="5"/>
      <c r="T31" s="5"/>
      <c r="U31" s="199">
        <f>+U30</f>
        <v>0</v>
      </c>
      <c r="V31" s="5"/>
      <c r="W31" s="5"/>
      <c r="X31" s="199">
        <f>+X30</f>
        <v>0</v>
      </c>
      <c r="Y31" s="197"/>
      <c r="AI31" s="35" t="s">
        <v>86</v>
      </c>
      <c r="AJ31" s="35">
        <v>0</v>
      </c>
      <c r="BG31" s="2">
        <v>4879170.4000000004</v>
      </c>
    </row>
    <row r="32" spans="3:59" ht="15.75" thickTop="1">
      <c r="C32" s="196" t="s">
        <v>51</v>
      </c>
      <c r="D32" s="15" t="s">
        <v>87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R32" s="36"/>
      <c r="S32" s="5"/>
      <c r="T32" s="5"/>
      <c r="U32" s="5"/>
      <c r="V32" s="5"/>
      <c r="W32" s="5"/>
      <c r="X32" s="5"/>
      <c r="Y32" s="197"/>
      <c r="AI32" s="35" t="s">
        <v>88</v>
      </c>
      <c r="AJ32" s="35">
        <v>49761.279999999999</v>
      </c>
      <c r="BG32" s="2">
        <f>+BG31-BG30</f>
        <v>-337486.3599999994</v>
      </c>
    </row>
    <row r="33" spans="3:59">
      <c r="C33" s="198"/>
      <c r="D33" s="5" t="s">
        <v>89</v>
      </c>
      <c r="E33" s="5"/>
      <c r="F33" s="5"/>
      <c r="G33" s="40">
        <v>1707912.25</v>
      </c>
      <c r="H33" s="5"/>
      <c r="I33" s="5"/>
      <c r="J33" s="5"/>
      <c r="K33" s="5"/>
      <c r="L33" s="5"/>
      <c r="M33" s="40">
        <v>1196791.1100000001</v>
      </c>
      <c r="N33" s="5"/>
      <c r="O33" s="5"/>
      <c r="P33" s="5"/>
      <c r="R33" s="37" t="s">
        <v>49</v>
      </c>
      <c r="S33" s="15" t="s">
        <v>90</v>
      </c>
      <c r="T33" s="15"/>
      <c r="U33" s="5"/>
      <c r="V33" s="5"/>
      <c r="W33" s="5"/>
      <c r="X33" s="5"/>
      <c r="Y33" s="197"/>
      <c r="Z33" s="2" t="s">
        <v>91</v>
      </c>
      <c r="AI33" s="35" t="s">
        <v>92</v>
      </c>
      <c r="AJ33" s="35">
        <v>29585.18</v>
      </c>
    </row>
    <row r="34" spans="3:59">
      <c r="C34" s="198"/>
      <c r="D34" s="5" t="s">
        <v>93</v>
      </c>
      <c r="E34" s="5"/>
      <c r="F34" s="5"/>
      <c r="G34" s="40">
        <v>52528.17</v>
      </c>
      <c r="H34" s="5"/>
      <c r="I34" s="5"/>
      <c r="J34" s="5"/>
      <c r="K34" s="5"/>
      <c r="L34" s="5"/>
      <c r="M34" s="40">
        <v>62616.38</v>
      </c>
      <c r="N34" s="5"/>
      <c r="O34" s="5"/>
      <c r="P34" s="5"/>
      <c r="R34" s="37" t="s">
        <v>51</v>
      </c>
      <c r="S34" s="15" t="s">
        <v>94</v>
      </c>
      <c r="T34" s="15"/>
      <c r="U34" s="5"/>
      <c r="V34" s="5"/>
      <c r="W34" s="5"/>
      <c r="X34" s="5"/>
      <c r="Y34" s="197"/>
      <c r="AH34" s="2" t="e">
        <f>+#REF!+U40</f>
        <v>#REF!</v>
      </c>
      <c r="AI34" s="35" t="s">
        <v>95</v>
      </c>
      <c r="AJ34" s="35">
        <v>5558.72</v>
      </c>
      <c r="BF34" s="2" t="s">
        <v>96</v>
      </c>
      <c r="BG34" s="2">
        <v>21565.45</v>
      </c>
    </row>
    <row r="35" spans="3:59">
      <c r="C35" s="198"/>
      <c r="D35" s="5" t="s">
        <v>97</v>
      </c>
      <c r="E35" s="5"/>
      <c r="F35" s="5"/>
      <c r="G35" s="40">
        <v>182</v>
      </c>
      <c r="H35" s="5"/>
      <c r="I35" s="5"/>
      <c r="J35" s="5"/>
      <c r="K35" s="5"/>
      <c r="L35" s="5"/>
      <c r="M35" s="40">
        <v>182</v>
      </c>
      <c r="N35" s="5"/>
      <c r="O35" s="5"/>
      <c r="P35" s="5"/>
      <c r="R35" s="36"/>
      <c r="S35" s="5" t="s">
        <v>98</v>
      </c>
      <c r="T35" s="5"/>
      <c r="U35" s="40">
        <f>188047.38-13792.71</f>
        <v>174254.67</v>
      </c>
      <c r="V35" s="5"/>
      <c r="W35" s="5"/>
      <c r="X35" s="40">
        <v>262729.78999999998</v>
      </c>
      <c r="Y35" s="197"/>
      <c r="AI35" s="35" t="s">
        <v>99</v>
      </c>
      <c r="AJ35" s="35">
        <v>960</v>
      </c>
    </row>
    <row r="36" spans="3:59">
      <c r="C36" s="198"/>
      <c r="D36" s="5" t="s">
        <v>195</v>
      </c>
      <c r="E36" s="5"/>
      <c r="F36" s="5"/>
      <c r="G36" s="40">
        <v>23164.37</v>
      </c>
      <c r="H36" s="5"/>
      <c r="I36" s="5"/>
      <c r="J36" s="5"/>
      <c r="K36" s="5"/>
      <c r="L36" s="5"/>
      <c r="M36" s="40">
        <v>11848.92</v>
      </c>
      <c r="N36" s="5"/>
      <c r="O36" s="5"/>
      <c r="P36" s="5"/>
      <c r="R36" s="36"/>
      <c r="S36" s="5"/>
      <c r="T36" s="5"/>
      <c r="U36" s="40"/>
      <c r="V36" s="5"/>
      <c r="W36" s="5"/>
      <c r="X36" s="40"/>
      <c r="Y36" s="197"/>
    </row>
    <row r="37" spans="3:59" ht="15.75" thickBot="1">
      <c r="C37" s="198"/>
      <c r="D37" s="5"/>
      <c r="E37" s="5"/>
      <c r="F37" s="5"/>
      <c r="G37" s="64">
        <f>SUM(G33:G36)</f>
        <v>1783786.79</v>
      </c>
      <c r="H37" s="5"/>
      <c r="I37" s="65">
        <f>+G37</f>
        <v>1783786.79</v>
      </c>
      <c r="J37" s="5"/>
      <c r="K37" s="5"/>
      <c r="L37" s="5"/>
      <c r="M37" s="64">
        <f>SUM(M33:M36)</f>
        <v>1271438.4099999999</v>
      </c>
      <c r="N37" s="5"/>
      <c r="O37" s="65">
        <f>+M37</f>
        <v>1271438.4099999999</v>
      </c>
      <c r="P37" s="5"/>
      <c r="R37" s="36"/>
      <c r="S37" s="5" t="s">
        <v>171</v>
      </c>
      <c r="T37" s="5"/>
      <c r="U37" s="40">
        <v>16223.16</v>
      </c>
      <c r="V37" s="5"/>
      <c r="W37" s="5"/>
      <c r="X37" s="40">
        <v>2124.1999999999998</v>
      </c>
      <c r="Y37" s="197"/>
    </row>
    <row r="38" spans="3:59" ht="15.75" thickTop="1">
      <c r="C38" s="196" t="s">
        <v>160</v>
      </c>
      <c r="D38" s="15" t="s">
        <v>159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R38" s="36"/>
      <c r="S38" s="5" t="s">
        <v>102</v>
      </c>
      <c r="T38" s="5"/>
      <c r="U38" s="40">
        <f>21899.1+36418.69+13792.71</f>
        <v>72110.5</v>
      </c>
      <c r="V38" s="5"/>
      <c r="W38" s="5"/>
      <c r="X38" s="40">
        <v>26202.58</v>
      </c>
      <c r="Y38" s="197"/>
    </row>
    <row r="39" spans="3:59" ht="15.75" thickBot="1">
      <c r="C39" s="196"/>
      <c r="D39" s="15" t="s">
        <v>161</v>
      </c>
      <c r="E39" s="5"/>
      <c r="F39" s="5"/>
      <c r="G39" s="73">
        <v>0</v>
      </c>
      <c r="H39" s="5"/>
      <c r="I39" s="65">
        <f>+I37+G39</f>
        <v>1783786.79</v>
      </c>
      <c r="J39" s="5"/>
      <c r="K39" s="5"/>
      <c r="L39" s="5"/>
      <c r="M39" s="73">
        <v>0</v>
      </c>
      <c r="N39" s="5"/>
      <c r="O39" s="65">
        <f>+O37+M39</f>
        <v>1271438.4099999999</v>
      </c>
      <c r="P39" s="5"/>
      <c r="R39" s="36"/>
      <c r="S39" s="5" t="s">
        <v>106</v>
      </c>
      <c r="T39" s="5"/>
      <c r="U39" s="40">
        <v>311.58999999999997</v>
      </c>
      <c r="V39" s="5"/>
      <c r="W39" s="5"/>
      <c r="X39" s="40">
        <v>5457.15</v>
      </c>
      <c r="Y39" s="197"/>
      <c r="AN39" s="2">
        <v>14635.28</v>
      </c>
    </row>
    <row r="40" spans="3:59" ht="15.75" thickTop="1">
      <c r="C40" s="196"/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R40" s="36"/>
      <c r="S40" s="5" t="s">
        <v>110</v>
      </c>
      <c r="T40" s="5"/>
      <c r="U40" s="40">
        <f>29552.27-16223.16</f>
        <v>13329.11</v>
      </c>
      <c r="V40" s="5"/>
      <c r="W40" s="5"/>
      <c r="X40" s="40">
        <v>248.71</v>
      </c>
      <c r="Y40" s="197"/>
      <c r="AN40" s="2">
        <f>+U37+U40</f>
        <v>29552.27</v>
      </c>
    </row>
    <row r="41" spans="3:59">
      <c r="C41" s="196" t="s">
        <v>100</v>
      </c>
      <c r="D41" s="15" t="s">
        <v>101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R41" s="37"/>
      <c r="S41" s="5"/>
      <c r="T41" s="5"/>
      <c r="U41" s="202">
        <f>SUM(U35:U40)</f>
        <v>276229.03000000003</v>
      </c>
      <c r="V41" s="5"/>
      <c r="W41" s="5"/>
      <c r="X41" s="202">
        <f>SUM(X35:X40)</f>
        <v>296762.43000000005</v>
      </c>
      <c r="Y41" s="197"/>
      <c r="Z41" s="2" t="s">
        <v>103</v>
      </c>
      <c r="AI41" s="35" t="s">
        <v>104</v>
      </c>
      <c r="AJ41" s="35">
        <v>6592.6</v>
      </c>
    </row>
    <row r="42" spans="3:59" ht="17.25" customHeight="1">
      <c r="C42" s="196"/>
      <c r="D42" s="5" t="s">
        <v>105</v>
      </c>
      <c r="E42" s="5"/>
      <c r="F42" s="5"/>
      <c r="G42" s="5"/>
      <c r="H42" s="5"/>
      <c r="I42" s="40">
        <v>0</v>
      </c>
      <c r="J42" s="5"/>
      <c r="K42" s="5"/>
      <c r="L42" s="5"/>
      <c r="M42" s="5"/>
      <c r="N42" s="5"/>
      <c r="O42" s="40">
        <v>0</v>
      </c>
      <c r="P42" s="5"/>
      <c r="R42" s="36"/>
      <c r="S42" s="5"/>
      <c r="T42" s="5"/>
      <c r="U42" s="5"/>
      <c r="V42" s="5"/>
      <c r="W42" s="5"/>
      <c r="X42" s="5"/>
      <c r="Y42" s="197"/>
      <c r="Z42" s="2" t="s">
        <v>107</v>
      </c>
      <c r="AI42" s="35" t="s">
        <v>108</v>
      </c>
      <c r="AJ42" s="35">
        <v>8228.9599999999991</v>
      </c>
    </row>
    <row r="43" spans="3:59" ht="15.75" thickBot="1">
      <c r="C43" s="198"/>
      <c r="D43" s="5" t="s">
        <v>109</v>
      </c>
      <c r="E43" s="5"/>
      <c r="F43" s="5"/>
      <c r="G43" s="5"/>
      <c r="H43" s="5"/>
      <c r="I43" s="45">
        <v>84234.1</v>
      </c>
      <c r="J43" s="5"/>
      <c r="K43" s="5"/>
      <c r="L43" s="5"/>
      <c r="M43" s="5"/>
      <c r="N43" s="5"/>
      <c r="O43" s="45">
        <v>118321.84</v>
      </c>
      <c r="P43" s="5"/>
      <c r="R43" s="36"/>
      <c r="S43" s="5" t="s">
        <v>113</v>
      </c>
      <c r="T43" s="5"/>
      <c r="U43" s="199">
        <f>U41</f>
        <v>276229.03000000003</v>
      </c>
      <c r="V43" s="5"/>
      <c r="W43" s="5"/>
      <c r="X43" s="199">
        <f>X41</f>
        <v>296762.43000000005</v>
      </c>
      <c r="Y43" s="197"/>
      <c r="AH43" s="2" t="e">
        <f>+U40+#REF!</f>
        <v>#REF!</v>
      </c>
      <c r="AI43" s="35" t="s">
        <v>111</v>
      </c>
      <c r="AJ43" s="35">
        <v>281243.56</v>
      </c>
    </row>
    <row r="44" spans="3:59" ht="16.5" thickTop="1" thickBot="1">
      <c r="C44" s="198"/>
      <c r="D44" s="5"/>
      <c r="E44" s="5"/>
      <c r="F44" s="5"/>
      <c r="G44" s="5"/>
      <c r="H44" s="5"/>
      <c r="I44" s="199">
        <f>I42+I43</f>
        <v>84234.1</v>
      </c>
      <c r="J44" s="5"/>
      <c r="K44" s="5"/>
      <c r="L44" s="5"/>
      <c r="M44" s="5"/>
      <c r="N44" s="5"/>
      <c r="O44" s="199">
        <f>O42+O43</f>
        <v>118321.84</v>
      </c>
      <c r="P44" s="5"/>
      <c r="R44" s="36"/>
      <c r="S44" s="19"/>
      <c r="T44" s="19"/>
      <c r="U44" s="40"/>
      <c r="V44" s="40"/>
      <c r="W44" s="40"/>
      <c r="X44" s="40"/>
      <c r="Y44" s="201"/>
      <c r="AI44" s="35" t="s">
        <v>112</v>
      </c>
      <c r="AJ44" s="35">
        <v>984958.86</v>
      </c>
    </row>
    <row r="45" spans="3:59" ht="15.75" thickTop="1">
      <c r="C45" s="198"/>
      <c r="D45" s="5"/>
      <c r="E45" s="5"/>
      <c r="F45" s="5"/>
      <c r="G45" s="5"/>
      <c r="H45" s="5"/>
      <c r="I45" s="43"/>
      <c r="J45" s="5"/>
      <c r="K45" s="5"/>
      <c r="L45" s="5"/>
      <c r="M45" s="5"/>
      <c r="N45" s="5"/>
      <c r="O45" s="43"/>
      <c r="P45" s="5"/>
      <c r="R45" s="36"/>
      <c r="S45" s="15" t="s">
        <v>118</v>
      </c>
      <c r="T45" s="15"/>
      <c r="U45" s="40"/>
      <c r="V45" s="40"/>
      <c r="W45" s="40"/>
      <c r="X45" s="40"/>
      <c r="Y45" s="201"/>
    </row>
    <row r="46" spans="3:59" ht="15.75" thickBot="1">
      <c r="C46" s="196"/>
      <c r="D46" s="5" t="s">
        <v>162</v>
      </c>
      <c r="E46" s="5"/>
      <c r="F46" s="5"/>
      <c r="G46" s="5"/>
      <c r="H46" s="5"/>
      <c r="I46" s="16">
        <f>I30+I39+I44</f>
        <v>1938816.58</v>
      </c>
      <c r="J46" s="5"/>
      <c r="K46" s="5"/>
      <c r="L46" s="5"/>
      <c r="M46" s="5"/>
      <c r="N46" s="5"/>
      <c r="O46" s="16">
        <f>O30+O39+O44</f>
        <v>1485359.83</v>
      </c>
      <c r="P46" s="5"/>
      <c r="R46" s="36"/>
      <c r="S46" s="5" t="s">
        <v>121</v>
      </c>
      <c r="T46" s="5"/>
      <c r="U46" s="40">
        <v>0</v>
      </c>
      <c r="V46" s="40"/>
      <c r="W46" s="40"/>
      <c r="X46" s="40">
        <v>0</v>
      </c>
      <c r="Y46" s="201"/>
      <c r="AI46" s="35" t="s">
        <v>114</v>
      </c>
      <c r="AJ46" s="35">
        <v>2568.87</v>
      </c>
    </row>
    <row r="47" spans="3:59" ht="15.75" thickTop="1">
      <c r="C47" s="19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R47" s="37"/>
      <c r="S47" s="5" t="s">
        <v>124</v>
      </c>
      <c r="T47" s="5"/>
      <c r="U47" s="40">
        <v>7545.38</v>
      </c>
      <c r="V47" s="40"/>
      <c r="W47" s="40"/>
      <c r="X47" s="40">
        <v>4315.8100000000004</v>
      </c>
      <c r="Y47" s="201"/>
      <c r="AI47" s="35" t="s">
        <v>115</v>
      </c>
      <c r="AJ47" s="35">
        <v>5109.0200000000004</v>
      </c>
    </row>
    <row r="48" spans="3:59">
      <c r="C48" s="196" t="s">
        <v>116</v>
      </c>
      <c r="D48" s="15" t="s">
        <v>117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R48" s="37" t="s">
        <v>75</v>
      </c>
      <c r="S48" s="5" t="s">
        <v>126</v>
      </c>
      <c r="T48" s="5"/>
      <c r="U48" s="45">
        <v>0</v>
      </c>
      <c r="V48" s="5"/>
      <c r="W48" s="5"/>
      <c r="X48" s="45">
        <v>0</v>
      </c>
      <c r="Y48" s="197"/>
      <c r="AI48" s="35" t="s">
        <v>119</v>
      </c>
      <c r="AJ48" s="35">
        <v>0</v>
      </c>
    </row>
    <row r="49" spans="3:70" ht="15.75" thickBot="1">
      <c r="C49" s="198"/>
      <c r="D49" s="5" t="s">
        <v>120</v>
      </c>
      <c r="E49" s="5"/>
      <c r="F49" s="5"/>
      <c r="G49" s="5"/>
      <c r="H49" s="5"/>
      <c r="I49" s="40">
        <v>0</v>
      </c>
      <c r="J49" s="5"/>
      <c r="K49" s="5"/>
      <c r="L49" s="5"/>
      <c r="M49" s="5"/>
      <c r="N49" s="5"/>
      <c r="O49" s="40">
        <v>0</v>
      </c>
      <c r="P49" s="5"/>
      <c r="R49" s="36"/>
      <c r="S49" s="5"/>
      <c r="T49" s="5"/>
      <c r="U49" s="199">
        <f>SUM(U46:U48)</f>
        <v>7545.38</v>
      </c>
      <c r="V49" s="5"/>
      <c r="W49" s="5"/>
      <c r="X49" s="199">
        <f>SUM(X46:X48)</f>
        <v>4315.8100000000004</v>
      </c>
      <c r="Y49" s="197"/>
      <c r="AI49" s="35" t="s">
        <v>122</v>
      </c>
      <c r="AJ49" s="35">
        <v>1322.09</v>
      </c>
    </row>
    <row r="50" spans="3:70" ht="15.75" thickTop="1">
      <c r="C50" s="198"/>
      <c r="D50" s="5" t="s">
        <v>123</v>
      </c>
      <c r="E50" s="5"/>
      <c r="F50" s="5"/>
      <c r="G50" s="5"/>
      <c r="H50" s="5"/>
      <c r="I50" s="40">
        <v>133808.10999999999</v>
      </c>
      <c r="J50" s="5"/>
      <c r="K50" s="5"/>
      <c r="L50" s="5"/>
      <c r="M50" s="5"/>
      <c r="N50" s="5"/>
      <c r="O50" s="40">
        <v>205540.12</v>
      </c>
      <c r="P50" s="5"/>
      <c r="R50" s="36"/>
      <c r="S50" s="5"/>
      <c r="T50" s="5"/>
      <c r="U50" s="5"/>
      <c r="V50" s="5"/>
      <c r="W50" s="5"/>
      <c r="X50" s="5"/>
      <c r="Y50" s="197"/>
    </row>
    <row r="51" spans="3:70">
      <c r="C51" s="198"/>
      <c r="D51" s="5" t="s">
        <v>125</v>
      </c>
      <c r="E51" s="5"/>
      <c r="F51" s="5"/>
      <c r="G51" s="5"/>
      <c r="H51" s="5"/>
      <c r="I51" s="40">
        <v>0</v>
      </c>
      <c r="J51" s="5"/>
      <c r="K51" s="5"/>
      <c r="L51" s="5"/>
      <c r="M51" s="5"/>
      <c r="N51" s="5"/>
      <c r="O51" s="40">
        <v>0</v>
      </c>
      <c r="P51" s="5"/>
      <c r="R51" s="36"/>
      <c r="S51" s="5"/>
      <c r="T51" s="5"/>
      <c r="U51" s="5"/>
      <c r="V51" s="5"/>
      <c r="W51" s="5"/>
      <c r="X51" s="5"/>
      <c r="Y51" s="197"/>
      <c r="AI51" s="35" t="s">
        <v>127</v>
      </c>
      <c r="AJ51" s="35">
        <v>4088.34</v>
      </c>
    </row>
    <row r="52" spans="3:70" ht="15.75" thickBot="1">
      <c r="C52" s="198"/>
      <c r="D52" s="5"/>
      <c r="E52" s="5"/>
      <c r="F52" s="5"/>
      <c r="G52" s="5"/>
      <c r="H52" s="5"/>
      <c r="I52" s="199">
        <f>SUM(I49:I51)</f>
        <v>133808.10999999999</v>
      </c>
      <c r="J52" s="5"/>
      <c r="K52" s="5"/>
      <c r="L52" s="5"/>
      <c r="M52" s="5"/>
      <c r="N52" s="5"/>
      <c r="O52" s="199">
        <f>SUM(O49:O51)</f>
        <v>205540.12</v>
      </c>
      <c r="P52" s="5"/>
      <c r="R52" s="36"/>
      <c r="S52" s="5"/>
      <c r="T52" s="5"/>
      <c r="U52" s="5"/>
      <c r="V52" s="5"/>
      <c r="W52" s="5"/>
      <c r="X52" s="5"/>
      <c r="Y52" s="197"/>
      <c r="AI52" s="35" t="s">
        <v>128</v>
      </c>
      <c r="AJ52" s="35">
        <v>59654.03</v>
      </c>
    </row>
    <row r="53" spans="3:70" ht="15.2" customHeight="1" thickTop="1" thickBot="1">
      <c r="C53" s="19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R53" s="36"/>
      <c r="S53" s="15"/>
      <c r="T53" s="15"/>
      <c r="U53" s="5"/>
      <c r="V53" s="5"/>
      <c r="W53" s="5"/>
      <c r="X53" s="5"/>
      <c r="Y53" s="197"/>
      <c r="AH53" s="264" t="s">
        <v>129</v>
      </c>
      <c r="AJ53" s="35">
        <f>SUM(AJ31:AJ52)</f>
        <v>1439631.5100000002</v>
      </c>
      <c r="AK53" s="35">
        <f>SUM(AK31:AK52)</f>
        <v>0</v>
      </c>
    </row>
    <row r="54" spans="3:70" ht="15.2" customHeight="1" thickBot="1">
      <c r="C54" s="198"/>
      <c r="D54" s="15" t="s">
        <v>130</v>
      </c>
      <c r="E54" s="5"/>
      <c r="F54" s="5"/>
      <c r="G54" s="5"/>
      <c r="H54" s="5"/>
      <c r="I54" s="16">
        <f>I10+I26+I46+I52</f>
        <v>12207210.290000001</v>
      </c>
      <c r="J54" s="5"/>
      <c r="K54" s="5"/>
      <c r="L54" s="5"/>
      <c r="M54" s="5"/>
      <c r="N54" s="5"/>
      <c r="O54" s="16">
        <f>O10+O26+O46+O52</f>
        <v>12059456.970000001</v>
      </c>
      <c r="P54" s="5"/>
      <c r="R54" s="36"/>
      <c r="S54" s="15" t="s">
        <v>131</v>
      </c>
      <c r="T54" s="15"/>
      <c r="U54" s="16">
        <f>U27+U31+U43+U49</f>
        <v>12207210.290000001</v>
      </c>
      <c r="V54" s="5"/>
      <c r="W54" s="5"/>
      <c r="X54" s="16">
        <f>X27+X31+X43+X49</f>
        <v>12059456.970000001</v>
      </c>
      <c r="Y54" s="201"/>
      <c r="Z54" s="183">
        <f>+I54-U54</f>
        <v>0</v>
      </c>
      <c r="AH54" s="264"/>
      <c r="AI54" s="35">
        <f>+O54-X54</f>
        <v>0</v>
      </c>
      <c r="AN54" s="2">
        <f>+I54-U54</f>
        <v>0</v>
      </c>
      <c r="BR54" s="2">
        <f>+I54-U54</f>
        <v>0</v>
      </c>
    </row>
    <row r="55" spans="3:70" ht="15.2" customHeight="1" thickTop="1" thickBot="1">
      <c r="C55" s="198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R55" s="36"/>
      <c r="S55" s="5"/>
      <c r="T55" s="5"/>
      <c r="U55" s="5"/>
      <c r="V55" s="5"/>
      <c r="W55" s="5"/>
      <c r="X55" s="5"/>
      <c r="Y55" s="197"/>
      <c r="Z55" s="265" t="s">
        <v>132</v>
      </c>
      <c r="AB55" s="2">
        <v>266.75</v>
      </c>
      <c r="AC55" s="2">
        <v>112130.68</v>
      </c>
      <c r="AH55" s="264"/>
    </row>
    <row r="56" spans="3:70" ht="18" customHeight="1">
      <c r="C56" s="198"/>
      <c r="D56" s="15" t="s">
        <v>133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R56" s="36"/>
      <c r="S56" s="15" t="s">
        <v>134</v>
      </c>
      <c r="T56" s="15"/>
      <c r="U56" s="5"/>
      <c r="V56" s="5"/>
      <c r="W56" s="5"/>
      <c r="X56" s="5"/>
      <c r="Y56" s="197"/>
      <c r="Z56" s="265"/>
      <c r="AB56" s="2">
        <v>37.5</v>
      </c>
      <c r="AC56" s="2">
        <v>7.34</v>
      </c>
      <c r="AD56" s="2">
        <v>471176.78</v>
      </c>
      <c r="AH56" s="264"/>
    </row>
    <row r="57" spans="3:70" ht="18" customHeight="1">
      <c r="C57" s="198"/>
      <c r="D57" s="5" t="s">
        <v>243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R57" s="36"/>
      <c r="S57" s="5" t="s">
        <v>244</v>
      </c>
      <c r="T57" s="5"/>
      <c r="U57" s="5"/>
      <c r="V57" s="5"/>
      <c r="W57" s="5"/>
      <c r="X57" s="5"/>
      <c r="Y57" s="197"/>
      <c r="Z57" s="265"/>
      <c r="AH57" s="121"/>
    </row>
    <row r="58" spans="3:70" ht="18" customHeight="1">
      <c r="C58" s="198"/>
      <c r="D58" s="5" t="s">
        <v>237</v>
      </c>
      <c r="E58" s="5"/>
      <c r="F58" s="5"/>
      <c r="G58" s="5">
        <v>1127778.05</v>
      </c>
      <c r="H58" s="5"/>
      <c r="I58" s="5"/>
      <c r="J58" s="5"/>
      <c r="K58" s="5"/>
      <c r="L58" s="5"/>
      <c r="M58" s="5">
        <v>987708.73</v>
      </c>
      <c r="N58" s="5"/>
      <c r="O58" s="5"/>
      <c r="P58" s="5"/>
      <c r="R58" s="36"/>
      <c r="S58" s="5" t="s">
        <v>239</v>
      </c>
      <c r="T58" s="5">
        <v>1081037.27</v>
      </c>
      <c r="U58" s="5"/>
      <c r="V58" s="5"/>
      <c r="W58" s="5">
        <v>992531.43</v>
      </c>
      <c r="X58" s="5"/>
      <c r="Y58" s="197"/>
      <c r="Z58" s="265"/>
      <c r="AH58" s="121"/>
    </row>
    <row r="59" spans="3:70" ht="18" customHeight="1">
      <c r="C59" s="198"/>
      <c r="D59" s="5" t="s">
        <v>238</v>
      </c>
      <c r="E59" s="5"/>
      <c r="F59" s="5"/>
      <c r="G59" s="66">
        <v>0</v>
      </c>
      <c r="H59" s="5"/>
      <c r="I59" s="5">
        <f>G59+G58</f>
        <v>1127778.05</v>
      </c>
      <c r="J59" s="5"/>
      <c r="K59" s="5"/>
      <c r="L59" s="5"/>
      <c r="M59" s="66">
        <v>4822.7</v>
      </c>
      <c r="N59" s="5"/>
      <c r="O59" s="5">
        <f>M59+M58</f>
        <v>992531.42999999993</v>
      </c>
      <c r="P59" s="5"/>
      <c r="R59" s="36"/>
      <c r="S59" s="5" t="s">
        <v>240</v>
      </c>
      <c r="T59" s="66">
        <v>46740.78</v>
      </c>
      <c r="U59" s="5">
        <f>T59+T58</f>
        <v>1127778.05</v>
      </c>
      <c r="V59" s="5"/>
      <c r="W59" s="66">
        <v>0</v>
      </c>
      <c r="X59" s="5">
        <f>W58+W59</f>
        <v>992531.43</v>
      </c>
      <c r="Y59" s="197"/>
      <c r="Z59" s="265"/>
      <c r="AH59" s="121"/>
    </row>
    <row r="60" spans="3:70" ht="18" customHeight="1" thickBot="1">
      <c r="C60" s="198"/>
      <c r="D60" s="5" t="s">
        <v>196</v>
      </c>
      <c r="E60" s="5"/>
      <c r="F60" s="5"/>
      <c r="G60" s="5"/>
      <c r="H60" s="5"/>
      <c r="I60" s="73">
        <v>8845.82</v>
      </c>
      <c r="J60" s="5"/>
      <c r="K60" s="5"/>
      <c r="L60" s="5"/>
      <c r="M60" s="5"/>
      <c r="N60" s="5"/>
      <c r="O60" s="73">
        <v>5054.8500000000004</v>
      </c>
      <c r="P60" s="5"/>
      <c r="R60" s="36"/>
      <c r="S60" s="5" t="s">
        <v>196</v>
      </c>
      <c r="T60" s="5"/>
      <c r="U60" s="73">
        <v>8845.82</v>
      </c>
      <c r="V60" s="5"/>
      <c r="W60" s="5"/>
      <c r="X60" s="73">
        <v>5054.8500000000004</v>
      </c>
      <c r="Y60" s="197"/>
      <c r="Z60" s="266"/>
      <c r="AH60" s="52">
        <f>I54-U54</f>
        <v>0</v>
      </c>
      <c r="AI60" s="35">
        <v>-100649.92</v>
      </c>
      <c r="AJ60" s="35">
        <f>AH60-AI60</f>
        <v>100649.92</v>
      </c>
    </row>
    <row r="61" spans="3:70" ht="18" customHeight="1" thickTop="1">
      <c r="C61" s="198"/>
      <c r="D61" s="5"/>
      <c r="E61" s="5"/>
      <c r="F61" s="5"/>
      <c r="G61" s="5"/>
      <c r="H61" s="5"/>
      <c r="I61" s="40">
        <f>SUM(I58:I60)</f>
        <v>1136623.8700000001</v>
      </c>
      <c r="J61" s="5"/>
      <c r="K61" s="5"/>
      <c r="L61" s="5"/>
      <c r="M61" s="5"/>
      <c r="N61" s="5"/>
      <c r="O61" s="40">
        <f>SUM(O58:O60)</f>
        <v>997586.27999999991</v>
      </c>
      <c r="P61" s="5"/>
      <c r="R61" s="5"/>
      <c r="S61" s="5"/>
      <c r="T61" s="5"/>
      <c r="U61" s="40">
        <f>SUM(U58:U60)</f>
        <v>1136623.8700000001</v>
      </c>
      <c r="V61" s="5"/>
      <c r="W61" s="5"/>
      <c r="X61" s="40">
        <f>SUM(X58:X60)</f>
        <v>997586.28</v>
      </c>
      <c r="Y61" s="197"/>
      <c r="Z61" s="119"/>
      <c r="AH61" s="120"/>
    </row>
    <row r="62" spans="3:70" ht="12.75" customHeight="1" thickBot="1">
      <c r="C62" s="267" t="s">
        <v>135</v>
      </c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03"/>
    </row>
    <row r="63" spans="3:70" ht="63.75" customHeight="1">
      <c r="C63" s="250" t="s">
        <v>245</v>
      </c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04"/>
    </row>
    <row r="64" spans="3:70" ht="55.5" customHeight="1">
      <c r="C64" s="252" t="s">
        <v>241</v>
      </c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4"/>
    </row>
    <row r="65" spans="3:40" ht="10.5" customHeight="1" thickBot="1">
      <c r="C65" s="205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206"/>
      <c r="Z65" s="5"/>
      <c r="AA65" s="53"/>
    </row>
    <row r="66" spans="3:40" ht="19.5" customHeight="1" thickBot="1">
      <c r="C66" s="258" t="str">
        <f>CONCATENATE("ΚΑΤΑΣΤΑΣΗ   ΛΟΓΑΡΙΑΣΜΟΥ  ΑΠΟΤΕΛΕΣΜΑΤΩΝ   ΧΡΗΣΗΣ  ",RIGHT(C5,25))</f>
        <v>ΚΑΤΑΣΤΑΣΗ   ΛΟΓΑΡΙΑΣΜΟΥ  ΑΠΟΤΕΛΕΣΜΑΤΩΝ   ΧΡΗΣΗΣ   ΤΗΣ 31ης ΔΕΚΕΜΒΡΙΟΥ 2015</v>
      </c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68"/>
      <c r="Q66" s="69"/>
      <c r="R66" s="99"/>
      <c r="S66" s="245" t="s">
        <v>136</v>
      </c>
      <c r="T66" s="245"/>
      <c r="U66" s="245"/>
      <c r="V66" s="245"/>
      <c r="W66" s="245"/>
      <c r="X66" s="245"/>
      <c r="Y66" s="207"/>
    </row>
    <row r="67" spans="3:40" ht="19.5" customHeight="1">
      <c r="C67" s="269" t="str">
        <f>+C6</f>
        <v>10η ΔΙΑΧΕΙΡΙΣΤΙΚΗ ΧΡΗΣΗ  1η ΙΑΝΟΥΑΡΙΟΥ- 31η ΔΕΚΕΜΒΡΙΟΥ 2015</v>
      </c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54"/>
      <c r="Q67" s="55"/>
      <c r="R67" s="100"/>
      <c r="S67" s="271" t="str">
        <f>+C6</f>
        <v>10η ΔΙΑΧΕΙΡΙΣΤΙΚΗ ΧΡΗΣΗ  1η ΙΑΝΟΥΑΡΙΟΥ- 31η ΔΕΚΕΜΒΡΙΟΥ 2015</v>
      </c>
      <c r="T67" s="271"/>
      <c r="U67" s="271"/>
      <c r="V67" s="271"/>
      <c r="W67" s="271"/>
      <c r="X67" s="271"/>
      <c r="Y67" s="208"/>
      <c r="Z67" s="56"/>
      <c r="AA67" s="56"/>
      <c r="AB67" s="56"/>
      <c r="AC67" s="56"/>
      <c r="AD67" s="56"/>
      <c r="AE67" s="56"/>
      <c r="AF67" s="57"/>
      <c r="AG67" s="28"/>
    </row>
    <row r="68" spans="3:40" ht="43.5" customHeight="1" thickBot="1">
      <c r="C68" s="76"/>
      <c r="D68" s="4"/>
      <c r="E68" s="260" t="str">
        <f>+E7</f>
        <v>Ποσά κλειόμενης χρήσης
2015</v>
      </c>
      <c r="F68" s="260"/>
      <c r="G68" s="260"/>
      <c r="H68" s="260"/>
      <c r="I68" s="260"/>
      <c r="J68" s="27"/>
      <c r="K68" s="260" t="str">
        <f>+K7</f>
        <v>Ποσά προηγούμενης χρήσης 
2014</v>
      </c>
      <c r="L68" s="260"/>
      <c r="M68" s="260"/>
      <c r="N68" s="260"/>
      <c r="O68" s="260"/>
      <c r="P68" s="58"/>
      <c r="Q68" s="58"/>
      <c r="R68" s="88"/>
      <c r="S68" s="4"/>
      <c r="T68" s="4"/>
      <c r="U68" s="101" t="str">
        <f>+E7</f>
        <v>Ποσά κλειόμενης χρήσης
2015</v>
      </c>
      <c r="V68" s="96"/>
      <c r="W68" s="96"/>
      <c r="X68" s="101" t="str">
        <f>+K7</f>
        <v>Ποσά προηγούμενης χρήσης 
2014</v>
      </c>
      <c r="Y68" s="209"/>
      <c r="Z68" s="59"/>
      <c r="AA68" s="59"/>
      <c r="AB68" s="59"/>
      <c r="AC68" s="59"/>
      <c r="AD68" s="59"/>
      <c r="AE68" s="59"/>
      <c r="AF68" s="60"/>
      <c r="AG68" s="4"/>
    </row>
    <row r="69" spans="3:40" ht="16.5" customHeight="1">
      <c r="C69" s="80" t="s">
        <v>137</v>
      </c>
      <c r="D69" s="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8"/>
      <c r="Q69" s="58"/>
      <c r="R69" s="88"/>
      <c r="S69" s="4" t="s">
        <v>192</v>
      </c>
      <c r="T69" s="4"/>
      <c r="U69" s="5">
        <f>I99</f>
        <v>-287380.83</v>
      </c>
      <c r="V69" s="4"/>
      <c r="W69" s="4"/>
      <c r="X69" s="5">
        <v>-265343.09000000003</v>
      </c>
      <c r="Y69" s="197"/>
      <c r="Z69" s="61"/>
      <c r="AA69" s="61"/>
      <c r="AC69" s="61"/>
      <c r="AD69" s="61"/>
      <c r="AE69" s="61"/>
    </row>
    <row r="70" spans="3:40" ht="33" customHeight="1">
      <c r="C70" s="76"/>
      <c r="D70" s="4" t="s">
        <v>138</v>
      </c>
      <c r="E70" s="5"/>
      <c r="F70" s="5"/>
      <c r="G70" s="5"/>
      <c r="H70" s="5"/>
      <c r="I70" s="40">
        <f>546946.83+1306.75</f>
        <v>548253.57999999996</v>
      </c>
      <c r="J70" s="5"/>
      <c r="K70" s="5"/>
      <c r="L70" s="5"/>
      <c r="M70" s="5"/>
      <c r="N70" s="5"/>
      <c r="O70" s="40">
        <v>606130.63</v>
      </c>
      <c r="P70" s="58"/>
      <c r="Q70" s="58"/>
      <c r="R70" s="88"/>
      <c r="S70" s="4" t="s">
        <v>193</v>
      </c>
      <c r="T70" s="4"/>
      <c r="U70" s="5">
        <v>-30885.83</v>
      </c>
      <c r="V70" s="4"/>
      <c r="W70" s="4"/>
      <c r="X70" s="5">
        <v>-21543.49</v>
      </c>
      <c r="Y70" s="197"/>
      <c r="Z70" s="4"/>
      <c r="AA70" s="4"/>
      <c r="AC70" s="4"/>
      <c r="AD70" s="4"/>
      <c r="AE70" s="4"/>
    </row>
    <row r="71" spans="3:40" ht="16.5" customHeight="1">
      <c r="C71" s="80" t="s">
        <v>140</v>
      </c>
      <c r="D71" s="4" t="s">
        <v>141</v>
      </c>
      <c r="E71" s="5"/>
      <c r="F71" s="5"/>
      <c r="G71" s="5"/>
      <c r="H71" s="5"/>
      <c r="I71" s="45">
        <f>235403.29+1641200.12+5060.41+2.67+14121.43</f>
        <v>1895787.92</v>
      </c>
      <c r="J71" s="5"/>
      <c r="K71" s="5"/>
      <c r="L71" s="5"/>
      <c r="M71" s="5"/>
      <c r="N71" s="5"/>
      <c r="O71" s="45">
        <f>1983933.71</f>
        <v>1983933.71</v>
      </c>
      <c r="P71" s="58"/>
      <c r="Q71" s="58"/>
      <c r="R71" s="88"/>
      <c r="S71" s="4" t="s">
        <v>194</v>
      </c>
      <c r="T71" s="4"/>
      <c r="U71" s="5">
        <v>-10514.57</v>
      </c>
      <c r="V71" s="4"/>
      <c r="W71" s="4"/>
      <c r="X71" s="5">
        <v>-43090.91</v>
      </c>
      <c r="Y71" s="197"/>
      <c r="Z71" s="4"/>
      <c r="AA71" s="4"/>
      <c r="AC71" s="4"/>
      <c r="AD71" s="4"/>
      <c r="AE71" s="4"/>
    </row>
    <row r="72" spans="3:40" ht="8.25" customHeight="1">
      <c r="C72" s="76"/>
      <c r="D72" s="4"/>
      <c r="E72" s="5"/>
      <c r="F72" s="5"/>
      <c r="G72" s="5"/>
      <c r="H72" s="5"/>
      <c r="I72" s="40"/>
      <c r="J72" s="5"/>
      <c r="K72" s="5"/>
      <c r="L72" s="5"/>
      <c r="M72" s="5"/>
      <c r="N72" s="5"/>
      <c r="O72" s="40"/>
      <c r="P72" s="58"/>
      <c r="Q72" s="58"/>
      <c r="R72" s="88"/>
      <c r="S72" s="4"/>
      <c r="T72" s="4"/>
      <c r="U72" s="5"/>
      <c r="V72" s="4"/>
      <c r="W72" s="4"/>
      <c r="X72" s="5"/>
      <c r="Y72" s="197"/>
      <c r="Z72" s="4"/>
      <c r="AA72" s="4"/>
      <c r="AC72" s="4"/>
      <c r="AD72" s="4"/>
      <c r="AE72" s="4"/>
    </row>
    <row r="73" spans="3:40" ht="26.25" customHeight="1">
      <c r="C73" s="76" t="s">
        <v>178</v>
      </c>
      <c r="D73" s="9"/>
      <c r="E73" s="5"/>
      <c r="F73" s="5"/>
      <c r="G73" s="5"/>
      <c r="H73" s="5"/>
      <c r="I73" s="40">
        <f>+I70-I71</f>
        <v>-1347534.3399999999</v>
      </c>
      <c r="J73" s="15"/>
      <c r="K73" s="5"/>
      <c r="L73" s="5"/>
      <c r="M73" s="5"/>
      <c r="N73" s="5"/>
      <c r="O73" s="40">
        <f>+O70-O71</f>
        <v>-1377803.08</v>
      </c>
      <c r="P73" s="58"/>
      <c r="Q73" s="58"/>
      <c r="R73" s="88"/>
      <c r="S73" s="67" t="s">
        <v>139</v>
      </c>
      <c r="T73" s="67"/>
      <c r="U73" s="12">
        <f>X74</f>
        <v>-3377985.8800000004</v>
      </c>
      <c r="V73" s="67"/>
      <c r="W73" s="67"/>
      <c r="X73" s="12">
        <v>-3048008.39</v>
      </c>
      <c r="Y73" s="210"/>
      <c r="Z73" s="4"/>
      <c r="AA73" s="4"/>
      <c r="AB73" s="4"/>
      <c r="AC73" s="4"/>
      <c r="AD73" s="4"/>
      <c r="AE73" s="4"/>
      <c r="AF73" s="62"/>
      <c r="AG73" s="4"/>
      <c r="AN73" s="2">
        <v>57640.639999999999</v>
      </c>
    </row>
    <row r="74" spans="3:40" ht="16.5" customHeight="1" thickBot="1">
      <c r="C74" s="80" t="s">
        <v>142</v>
      </c>
      <c r="D74" s="4" t="s">
        <v>143</v>
      </c>
      <c r="E74" s="5"/>
      <c r="F74" s="5"/>
      <c r="G74" s="5"/>
      <c r="H74" s="5"/>
      <c r="I74" s="45">
        <f>1451886.43+14121.43</f>
        <v>1466007.8599999999</v>
      </c>
      <c r="J74" s="5"/>
      <c r="K74" s="5"/>
      <c r="L74" s="5"/>
      <c r="M74" s="5"/>
      <c r="N74" s="5"/>
      <c r="O74" s="45">
        <f>1387706.4+135049.36</f>
        <v>1522755.7599999998</v>
      </c>
      <c r="P74" s="58"/>
      <c r="Q74" s="58"/>
      <c r="R74" s="88"/>
      <c r="S74" s="9" t="s">
        <v>173</v>
      </c>
      <c r="T74" s="9"/>
      <c r="U74" s="16">
        <f>U69+U73+U70+U71</f>
        <v>-3706767.1100000003</v>
      </c>
      <c r="V74" s="9"/>
      <c r="W74" s="9"/>
      <c r="X74" s="16">
        <f>X69+X73+X70+X71</f>
        <v>-3377985.8800000004</v>
      </c>
      <c r="Y74" s="197"/>
      <c r="Z74" s="59"/>
      <c r="AA74" s="59"/>
      <c r="AB74" s="59"/>
      <c r="AC74" s="59"/>
      <c r="AD74" s="59"/>
      <c r="AE74" s="59"/>
      <c r="AF74" s="60"/>
      <c r="AG74" s="4"/>
      <c r="AN74" s="2">
        <v>-30793.47</v>
      </c>
    </row>
    <row r="75" spans="3:40" ht="16.5" customHeight="1" thickTop="1">
      <c r="C75" s="76"/>
      <c r="D75" s="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8"/>
      <c r="Q75" s="58"/>
      <c r="R75" s="89"/>
      <c r="S75" s="66"/>
      <c r="T75" s="66"/>
      <c r="U75" s="66"/>
      <c r="V75" s="66"/>
      <c r="W75" s="66"/>
      <c r="X75" s="66"/>
      <c r="Y75" s="211"/>
      <c r="AI75" s="35">
        <v>24708.15</v>
      </c>
      <c r="AN75" s="2">
        <v>6168.9</v>
      </c>
    </row>
    <row r="76" spans="3:40" ht="16.5" customHeight="1">
      <c r="C76" s="76" t="s">
        <v>144</v>
      </c>
      <c r="D76" s="4"/>
      <c r="E76" s="5"/>
      <c r="F76" s="5"/>
      <c r="G76" s="5"/>
      <c r="H76" s="5"/>
      <c r="I76" s="12">
        <f>+I73+I74</f>
        <v>118473.52000000002</v>
      </c>
      <c r="J76" s="5"/>
      <c r="K76" s="5"/>
      <c r="L76" s="5"/>
      <c r="M76" s="5"/>
      <c r="N76" s="5"/>
      <c r="O76" s="12">
        <f>+O73+O74</f>
        <v>144952.6799999997</v>
      </c>
      <c r="P76" s="58"/>
      <c r="Q76" s="58"/>
      <c r="R76" s="212"/>
      <c r="S76" s="261" t="str">
        <f>Λογ.Εκμετάλλευσης!C55</f>
        <v>ΑΘΗΝΑ  30/09/2016</v>
      </c>
      <c r="T76" s="261"/>
      <c r="U76" s="261"/>
      <c r="V76" s="261"/>
      <c r="W76" s="261"/>
      <c r="X76" s="261"/>
      <c r="Y76" s="197"/>
      <c r="AI76" s="35">
        <f>I49-AI75</f>
        <v>-24708.15</v>
      </c>
    </row>
    <row r="77" spans="3:40" ht="16.5" customHeight="1">
      <c r="C77" s="80" t="s">
        <v>140</v>
      </c>
      <c r="D77" s="4" t="s">
        <v>145</v>
      </c>
      <c r="E77" s="5"/>
      <c r="F77" s="5"/>
      <c r="G77" s="40">
        <f>403135.08+2319.59-40.72</f>
        <v>405413.95000000007</v>
      </c>
      <c r="H77" s="40"/>
      <c r="I77" s="5"/>
      <c r="J77" s="5"/>
      <c r="K77" s="5"/>
      <c r="L77" s="5"/>
      <c r="M77" s="40">
        <f>448258.36-14.83</f>
        <v>448243.52999999997</v>
      </c>
      <c r="N77" s="40"/>
      <c r="O77" s="5"/>
      <c r="P77" s="58"/>
      <c r="Q77" s="58"/>
      <c r="R77" s="212"/>
      <c r="S77" s="98"/>
      <c r="T77" s="98"/>
      <c r="U77" s="98"/>
      <c r="V77" s="98"/>
      <c r="W77" s="98"/>
      <c r="X77" s="98"/>
      <c r="Y77" s="197"/>
    </row>
    <row r="78" spans="3:40" ht="16.5" customHeight="1">
      <c r="C78" s="76"/>
      <c r="D78" s="4" t="s">
        <v>146</v>
      </c>
      <c r="E78" s="5"/>
      <c r="F78" s="5"/>
      <c r="G78" s="45">
        <v>0</v>
      </c>
      <c r="H78" s="40"/>
      <c r="I78" s="12">
        <f>SUM(G77:G78)</f>
        <v>405413.95000000007</v>
      </c>
      <c r="J78" s="5"/>
      <c r="K78" s="5"/>
      <c r="L78" s="5"/>
      <c r="M78" s="45">
        <v>0</v>
      </c>
      <c r="N78" s="40"/>
      <c r="O78" s="12">
        <f>SUM(M77:M78)</f>
        <v>448243.52999999997</v>
      </c>
      <c r="P78" s="58"/>
      <c r="Q78" s="58"/>
      <c r="R78" s="212"/>
      <c r="S78" s="255" t="str">
        <f>Λογ.Εκμετάλλευσης!E59</f>
        <v>Ο  ΔΙΟΙΚΗΤΗΣ &amp; ΠΡΟΕΔΡΟΣ Δ.Σ.</v>
      </c>
      <c r="T78" s="255"/>
      <c r="U78" s="255"/>
      <c r="V78" s="255"/>
      <c r="W78" s="255"/>
      <c r="X78" s="255"/>
      <c r="Y78" s="213"/>
    </row>
    <row r="79" spans="3:40" ht="16.5" customHeight="1">
      <c r="C79" s="76" t="s">
        <v>147</v>
      </c>
      <c r="D79" s="9"/>
      <c r="E79" s="5"/>
      <c r="F79" s="5"/>
      <c r="G79" s="40"/>
      <c r="H79" s="5"/>
      <c r="I79" s="5">
        <f>+I76-I78</f>
        <v>-286940.43000000005</v>
      </c>
      <c r="J79" s="15"/>
      <c r="K79" s="5"/>
      <c r="L79" s="5"/>
      <c r="M79" s="40"/>
      <c r="N79" s="5"/>
      <c r="O79" s="5">
        <f>+O76-O78</f>
        <v>-303290.85000000027</v>
      </c>
      <c r="P79" s="58"/>
      <c r="Q79" s="58"/>
      <c r="R79" s="212"/>
      <c r="S79" s="98"/>
      <c r="T79" s="98"/>
      <c r="U79" s="98"/>
      <c r="V79" s="98"/>
      <c r="W79" s="98"/>
      <c r="X79" s="98"/>
      <c r="Y79" s="213"/>
      <c r="AN79" s="2">
        <f>SUM(AN73:AN78)</f>
        <v>33016.07</v>
      </c>
    </row>
    <row r="80" spans="3:40" ht="16.5" customHeight="1">
      <c r="C80" s="80" t="s">
        <v>142</v>
      </c>
      <c r="D80" s="4" t="s">
        <v>148</v>
      </c>
      <c r="E80" s="5"/>
      <c r="F80" s="5"/>
      <c r="G80" s="40">
        <v>3226.68</v>
      </c>
      <c r="H80" s="5"/>
      <c r="I80" s="5"/>
      <c r="J80" s="15"/>
      <c r="K80" s="5"/>
      <c r="L80" s="5"/>
      <c r="M80" s="40">
        <v>14932.35</v>
      </c>
      <c r="N80" s="5"/>
      <c r="O80" s="5"/>
      <c r="P80" s="58"/>
      <c r="Q80" s="58"/>
      <c r="R80" s="212"/>
      <c r="S80" s="98"/>
      <c r="T80" s="98"/>
      <c r="U80" s="98"/>
      <c r="V80" s="98"/>
      <c r="W80" s="98"/>
      <c r="X80" s="98"/>
      <c r="Y80" s="197"/>
    </row>
    <row r="81" spans="3:41" ht="16.5" customHeight="1">
      <c r="C81" s="80" t="s">
        <v>140</v>
      </c>
      <c r="D81" s="4" t="s">
        <v>149</v>
      </c>
      <c r="E81" s="5"/>
      <c r="F81" s="5"/>
      <c r="G81" s="45">
        <v>40.72</v>
      </c>
      <c r="H81" s="5"/>
      <c r="I81" s="12">
        <f>G80-G81</f>
        <v>3185.96</v>
      </c>
      <c r="J81" s="5"/>
      <c r="K81" s="5"/>
      <c r="L81" s="5"/>
      <c r="M81" s="45">
        <v>14.83</v>
      </c>
      <c r="N81" s="5"/>
      <c r="O81" s="12">
        <f>M80-M81</f>
        <v>14917.52</v>
      </c>
      <c r="P81" s="58"/>
      <c r="Q81" s="58"/>
      <c r="R81" s="212"/>
      <c r="S81" s="248" t="str">
        <f>Λογ.Εκμετάλλευσης!E63</f>
        <v>ΒΕΖΥΡΑΚΗΣ ΔΗΜΗΤΡΙΟΣ</v>
      </c>
      <c r="T81" s="248"/>
      <c r="U81" s="248"/>
      <c r="V81" s="248"/>
      <c r="W81" s="248"/>
      <c r="X81" s="248"/>
      <c r="Y81" s="214"/>
    </row>
    <row r="82" spans="3:41" ht="12" customHeight="1">
      <c r="C82" s="76"/>
      <c r="D82" s="4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8"/>
      <c r="Q82" s="58"/>
      <c r="R82" s="212"/>
      <c r="S82" s="248" t="str">
        <f>Λογ.Εκμετάλλευσης!E64</f>
        <v>Α.Δ.Τ. ΑΕ 012779</v>
      </c>
      <c r="T82" s="248"/>
      <c r="U82" s="248"/>
      <c r="V82" s="248"/>
      <c r="W82" s="248"/>
      <c r="X82" s="248"/>
      <c r="Y82" s="197"/>
      <c r="AN82" s="2">
        <v>12309.42</v>
      </c>
    </row>
    <row r="83" spans="3:41" ht="16.5" customHeight="1">
      <c r="C83" s="76" t="s">
        <v>150</v>
      </c>
      <c r="D83" s="9"/>
      <c r="E83" s="5"/>
      <c r="F83" s="5"/>
      <c r="G83" s="5"/>
      <c r="H83" s="5"/>
      <c r="I83" s="12">
        <f>+I79+I81</f>
        <v>-283754.47000000003</v>
      </c>
      <c r="J83" s="15"/>
      <c r="K83" s="5"/>
      <c r="L83" s="5"/>
      <c r="M83" s="5"/>
      <c r="N83" s="5"/>
      <c r="O83" s="12">
        <f>+O79+O81</f>
        <v>-288373.33000000025</v>
      </c>
      <c r="P83" s="58"/>
      <c r="Q83" s="58"/>
      <c r="R83" s="212"/>
      <c r="S83" s="98"/>
      <c r="T83" s="98"/>
      <c r="U83" s="98"/>
      <c r="V83" s="98"/>
      <c r="W83" s="98"/>
      <c r="X83" s="98"/>
      <c r="Y83" s="197"/>
      <c r="AN83" s="2">
        <v>6168.9</v>
      </c>
    </row>
    <row r="84" spans="3:41" ht="16.5" customHeight="1">
      <c r="C84" s="80" t="s">
        <v>151</v>
      </c>
      <c r="D84" s="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8"/>
      <c r="Q84" s="58"/>
      <c r="R84" s="212"/>
      <c r="S84" s="262" t="str">
        <f>+Λογ.Εκμετάλλευσης!H59</f>
        <v>H ΔΙΟΙΚΗΤΙΚH ΔΙΕΥΘΥΝΤΡΙΑ</v>
      </c>
      <c r="T84" s="262"/>
      <c r="U84" s="262"/>
      <c r="V84" s="262"/>
      <c r="W84" s="262"/>
      <c r="X84" s="262"/>
      <c r="Y84" s="215"/>
      <c r="AN84" s="2">
        <v>6416.15</v>
      </c>
      <c r="AO84" s="2">
        <f>SUM(AN82:AN84)</f>
        <v>24894.47</v>
      </c>
    </row>
    <row r="85" spans="3:41" ht="16.5" customHeight="1">
      <c r="C85" s="76"/>
      <c r="D85" s="4" t="s">
        <v>152</v>
      </c>
      <c r="E85" s="4"/>
      <c r="F85" s="5">
        <v>0</v>
      </c>
      <c r="G85" s="40">
        <f>26161.61</f>
        <v>26161.61</v>
      </c>
      <c r="H85" s="5"/>
      <c r="I85" s="5"/>
      <c r="J85" s="5"/>
      <c r="K85" s="4"/>
      <c r="L85" s="5"/>
      <c r="M85" s="40">
        <v>26212.06</v>
      </c>
      <c r="N85" s="5"/>
      <c r="O85" s="5"/>
      <c r="P85" s="58"/>
      <c r="Q85" s="58"/>
      <c r="R85" s="212"/>
      <c r="S85" s="98"/>
      <c r="T85" s="98"/>
      <c r="U85" s="98"/>
      <c r="V85" s="98"/>
      <c r="W85" s="98"/>
      <c r="X85" s="98"/>
      <c r="Y85" s="215"/>
      <c r="AO85" s="2">
        <f>+U47-AO84</f>
        <v>-17349.09</v>
      </c>
    </row>
    <row r="86" spans="3:41" ht="16.5" customHeight="1">
      <c r="C86" s="76"/>
      <c r="D86" s="4" t="s">
        <v>153</v>
      </c>
      <c r="E86" s="4"/>
      <c r="F86" s="5"/>
      <c r="G86" s="40">
        <v>3333.9</v>
      </c>
      <c r="H86" s="5"/>
      <c r="I86" s="5"/>
      <c r="J86" s="5"/>
      <c r="K86" s="4"/>
      <c r="L86" s="5"/>
      <c r="M86" s="40">
        <v>446.52</v>
      </c>
      <c r="N86" s="5"/>
      <c r="O86" s="5"/>
      <c r="P86" s="58"/>
      <c r="Q86" s="58"/>
      <c r="R86" s="212"/>
      <c r="S86" s="98"/>
      <c r="T86" s="98"/>
      <c r="U86" s="98"/>
      <c r="V86" s="98"/>
      <c r="W86" s="98"/>
      <c r="X86" s="98"/>
      <c r="Y86" s="197"/>
    </row>
    <row r="87" spans="3:41" ht="16.5" customHeight="1">
      <c r="C87" s="76"/>
      <c r="D87" s="4" t="s">
        <v>154</v>
      </c>
      <c r="E87" s="4"/>
      <c r="F87" s="5"/>
      <c r="G87" s="40">
        <v>0</v>
      </c>
      <c r="H87" s="5"/>
      <c r="I87" s="5"/>
      <c r="J87" s="5"/>
      <c r="K87" s="4"/>
      <c r="L87" s="5"/>
      <c r="M87" s="40">
        <v>0</v>
      </c>
      <c r="N87" s="5"/>
      <c r="O87" s="5"/>
      <c r="P87" s="58"/>
      <c r="Q87" s="58"/>
      <c r="R87" s="212"/>
      <c r="S87" s="98"/>
      <c r="T87" s="98"/>
      <c r="U87" s="98"/>
      <c r="V87" s="98"/>
      <c r="W87" s="98"/>
      <c r="X87" s="98"/>
      <c r="Y87" s="210"/>
    </row>
    <row r="88" spans="3:41" ht="16.5" customHeight="1">
      <c r="C88" s="76"/>
      <c r="D88" s="4" t="s">
        <v>163</v>
      </c>
      <c r="E88" s="4"/>
      <c r="F88" s="5"/>
      <c r="G88" s="74">
        <v>0</v>
      </c>
      <c r="H88" s="5"/>
      <c r="I88" s="5"/>
      <c r="J88" s="5"/>
      <c r="K88" s="4"/>
      <c r="L88" s="5"/>
      <c r="M88" s="74">
        <v>0</v>
      </c>
      <c r="N88" s="5"/>
      <c r="O88" s="5"/>
      <c r="P88" s="58"/>
      <c r="Q88" s="58"/>
      <c r="R88" s="212"/>
      <c r="S88" s="249" t="str">
        <f>Λογ.Εκμετάλλευσης!H63</f>
        <v>ΒΛΑΧΑΚΗ ΚΥΡΙΑΚΗ</v>
      </c>
      <c r="T88" s="249"/>
      <c r="U88" s="249"/>
      <c r="V88" s="249"/>
      <c r="W88" s="249"/>
      <c r="X88" s="249"/>
      <c r="Y88" s="197"/>
    </row>
    <row r="89" spans="3:41" ht="16.5" customHeight="1">
      <c r="C89" s="198"/>
      <c r="D89" s="5"/>
      <c r="E89" s="5"/>
      <c r="F89" s="5"/>
      <c r="G89" s="5">
        <f>SUM(G85:G88)</f>
        <v>29495.510000000002</v>
      </c>
      <c r="H89" s="5"/>
      <c r="I89" s="5"/>
      <c r="J89" s="5"/>
      <c r="K89" s="5"/>
      <c r="L89" s="5"/>
      <c r="M89" s="5">
        <f>SUM(M85:M88)</f>
        <v>26658.58</v>
      </c>
      <c r="N89" s="5"/>
      <c r="O89" s="5"/>
      <c r="P89" s="58"/>
      <c r="Q89" s="58"/>
      <c r="R89" s="212"/>
      <c r="S89" s="249" t="str">
        <f>Λογ.Εκμετάλλευσης!H64</f>
        <v>Α.Δ.Τ. ΑΒ 304836</v>
      </c>
      <c r="T89" s="249"/>
      <c r="U89" s="249"/>
      <c r="V89" s="249"/>
      <c r="W89" s="249"/>
      <c r="X89" s="249"/>
      <c r="Y89" s="210"/>
    </row>
    <row r="90" spans="3:41" ht="12" customHeight="1">
      <c r="C90" s="198"/>
      <c r="D90" s="15" t="s">
        <v>32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R90" s="198"/>
      <c r="S90" s="98"/>
      <c r="T90" s="98"/>
      <c r="U90" s="98"/>
      <c r="V90" s="98"/>
      <c r="W90" s="98"/>
      <c r="X90" s="98"/>
      <c r="Y90" s="213"/>
    </row>
    <row r="91" spans="3:41" ht="16.5" customHeight="1">
      <c r="C91" s="198"/>
      <c r="D91" s="5" t="s">
        <v>233</v>
      </c>
      <c r="E91" s="5"/>
      <c r="F91" s="5"/>
      <c r="G91" s="40">
        <f>197.15+1534.11+0.18</f>
        <v>1731.44</v>
      </c>
      <c r="H91" s="5"/>
      <c r="I91" s="5"/>
      <c r="J91" s="5"/>
      <c r="K91" s="5"/>
      <c r="L91" s="5"/>
      <c r="M91" s="40">
        <v>0</v>
      </c>
      <c r="N91" s="5"/>
      <c r="O91" s="5"/>
      <c r="P91" s="5"/>
      <c r="R91" s="198"/>
      <c r="S91" s="261" t="str">
        <f>+Λογ.Εκμετάλλευσης!N59</f>
        <v>Η ΠΡΟΪΣΤΑΜΕΝΗ ΟΙΚΟΝΟΜΙΚΟΥ ΤΜΗΜΑΤΟΣ</v>
      </c>
      <c r="T91" s="261"/>
      <c r="U91" s="261"/>
      <c r="V91" s="261"/>
      <c r="W91" s="261"/>
      <c r="X91" s="261"/>
      <c r="Y91" s="213"/>
    </row>
    <row r="92" spans="3:41" ht="16.5" customHeight="1">
      <c r="C92" s="198"/>
      <c r="D92" s="4" t="s">
        <v>164</v>
      </c>
      <c r="E92" s="5"/>
      <c r="F92" s="5"/>
      <c r="G92" s="74">
        <v>31390.43</v>
      </c>
      <c r="H92" s="5"/>
      <c r="I92" s="12">
        <f>+G89-G91-G92</f>
        <v>-3626.3599999999969</v>
      </c>
      <c r="J92" s="5"/>
      <c r="K92" s="5"/>
      <c r="L92" s="5"/>
      <c r="M92" s="74">
        <f>3181.82+446.52</f>
        <v>3628.34</v>
      </c>
      <c r="N92" s="5"/>
      <c r="O92" s="12">
        <f>+M89-M91-M92</f>
        <v>23030.240000000002</v>
      </c>
      <c r="P92" s="5"/>
      <c r="R92" s="198"/>
      <c r="S92" s="98"/>
      <c r="T92" s="98"/>
      <c r="U92" s="98"/>
      <c r="V92" s="98"/>
      <c r="W92" s="98"/>
      <c r="X92" s="98"/>
      <c r="Y92" s="213"/>
    </row>
    <row r="93" spans="3:41" ht="16.5" customHeight="1">
      <c r="C93" s="198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R93" s="198"/>
      <c r="S93" s="97"/>
      <c r="T93" s="97"/>
      <c r="U93" s="97"/>
      <c r="V93" s="97"/>
      <c r="W93" s="97"/>
      <c r="X93" s="97"/>
      <c r="Y93" s="197"/>
    </row>
    <row r="94" spans="3:41" ht="16.5" customHeight="1">
      <c r="C94" s="76" t="s">
        <v>155</v>
      </c>
      <c r="D94" s="9"/>
      <c r="E94" s="5"/>
      <c r="F94" s="5"/>
      <c r="G94" s="63"/>
      <c r="H94" s="63"/>
      <c r="I94" s="5">
        <f>I83+I92</f>
        <v>-287380.83</v>
      </c>
      <c r="J94" s="15"/>
      <c r="K94" s="5"/>
      <c r="L94" s="5"/>
      <c r="M94" s="63"/>
      <c r="N94" s="63"/>
      <c r="O94" s="5">
        <f>O83+O92</f>
        <v>-265343.09000000026</v>
      </c>
      <c r="P94" s="5"/>
      <c r="R94" s="198"/>
      <c r="S94" s="248" t="str">
        <f>Λογ.Εκμετάλλευσης!N63</f>
        <v>ΚΕΦΗ ΒΑΣΙΛΙΚΗ</v>
      </c>
      <c r="T94" s="248"/>
      <c r="U94" s="248"/>
      <c r="V94" s="248"/>
      <c r="W94" s="248"/>
      <c r="X94" s="248"/>
      <c r="Y94" s="210"/>
    </row>
    <row r="95" spans="3:41" ht="16.5" customHeight="1">
      <c r="C95" s="80" t="s">
        <v>140</v>
      </c>
      <c r="D95" s="4"/>
      <c r="E95" s="5"/>
      <c r="F95" s="5"/>
      <c r="G95" s="5"/>
      <c r="H95" s="5"/>
      <c r="I95" s="15"/>
      <c r="J95" s="15"/>
      <c r="K95" s="5"/>
      <c r="L95" s="5"/>
      <c r="M95" s="5"/>
      <c r="N95" s="5"/>
      <c r="O95" s="15"/>
      <c r="P95" s="58"/>
      <c r="Q95" s="58"/>
      <c r="R95" s="198"/>
      <c r="S95" s="248" t="str">
        <f>Λογ.Εκμετάλλευσης!N64</f>
        <v>Α.Δ.Τ. Ρ 497569</v>
      </c>
      <c r="T95" s="248"/>
      <c r="U95" s="248"/>
      <c r="V95" s="248"/>
      <c r="W95" s="248"/>
      <c r="X95" s="248"/>
      <c r="Y95" s="197"/>
    </row>
    <row r="96" spans="3:41" ht="16.5" customHeight="1">
      <c r="C96" s="76" t="s">
        <v>156</v>
      </c>
      <c r="D96" s="4"/>
      <c r="E96" s="5"/>
      <c r="F96" s="5"/>
      <c r="G96" s="40">
        <f>Λογ.Εκμετάλλευσης!F37</f>
        <v>238997.23</v>
      </c>
      <c r="H96" s="5"/>
      <c r="I96" s="5"/>
      <c r="J96" s="5"/>
      <c r="K96" s="5"/>
      <c r="L96" s="5"/>
      <c r="M96" s="40">
        <v>245085.77</v>
      </c>
      <c r="N96" s="5"/>
      <c r="O96" s="5"/>
      <c r="P96" s="58"/>
      <c r="Q96" s="58"/>
      <c r="R96" s="198"/>
      <c r="S96" s="98"/>
      <c r="T96" s="98"/>
      <c r="U96" s="98"/>
      <c r="V96" s="98"/>
      <c r="W96" s="98"/>
      <c r="X96" s="98"/>
      <c r="Y96" s="216"/>
      <c r="Z96" s="5"/>
    </row>
    <row r="97" spans="3:26" ht="16.5" customHeight="1">
      <c r="C97" s="80" t="s">
        <v>140</v>
      </c>
      <c r="D97" s="4" t="s">
        <v>157</v>
      </c>
      <c r="E97" s="5"/>
      <c r="F97" s="5"/>
      <c r="G97" s="45">
        <f>G96</f>
        <v>238997.23</v>
      </c>
      <c r="H97" s="5"/>
      <c r="I97" s="12">
        <f>+G96-G97</f>
        <v>0</v>
      </c>
      <c r="J97" s="5"/>
      <c r="K97" s="5"/>
      <c r="L97" s="5"/>
      <c r="M97" s="45">
        <f>M96</f>
        <v>245085.77</v>
      </c>
      <c r="N97" s="5"/>
      <c r="O97" s="12">
        <f>+M96-M97</f>
        <v>0</v>
      </c>
      <c r="P97" s="58"/>
      <c r="Q97" s="58"/>
      <c r="R97" s="198"/>
      <c r="S97" s="261" t="s">
        <v>191</v>
      </c>
      <c r="T97" s="261"/>
      <c r="U97" s="261"/>
      <c r="V97" s="261"/>
      <c r="W97" s="261"/>
      <c r="X97" s="261"/>
      <c r="Y97" s="217"/>
      <c r="Z97" s="30"/>
    </row>
    <row r="98" spans="3:26" ht="14.25" customHeight="1">
      <c r="C98" s="76"/>
      <c r="D98" s="4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8"/>
      <c r="Q98" s="58"/>
      <c r="R98" s="212"/>
      <c r="S98" s="247" t="s">
        <v>246</v>
      </c>
      <c r="T98" s="247"/>
      <c r="U98" s="247"/>
      <c r="V98" s="247"/>
      <c r="W98" s="247"/>
      <c r="X98" s="247"/>
      <c r="Y98" s="218"/>
      <c r="Z98" s="115"/>
    </row>
    <row r="99" spans="3:26" ht="16.5" customHeight="1" thickBot="1">
      <c r="C99" s="80" t="s">
        <v>177</v>
      </c>
      <c r="D99" s="9"/>
      <c r="E99" s="5"/>
      <c r="F99" s="5"/>
      <c r="G99" s="5"/>
      <c r="H99" s="5"/>
      <c r="I99" s="16">
        <f>+I94+I97</f>
        <v>-287380.83</v>
      </c>
      <c r="J99" s="15"/>
      <c r="K99" s="5"/>
      <c r="L99" s="5"/>
      <c r="M99" s="5"/>
      <c r="N99" s="5"/>
      <c r="O99" s="16">
        <f>+O94+O97</f>
        <v>-265343.09000000026</v>
      </c>
      <c r="P99" s="58"/>
      <c r="Q99" s="58"/>
      <c r="R99" s="212"/>
      <c r="S99" s="98"/>
      <c r="T99" s="98"/>
      <c r="U99" s="98"/>
      <c r="V99" s="98"/>
      <c r="W99" s="98"/>
      <c r="X99" s="29"/>
      <c r="Y99" s="217"/>
      <c r="Z99" s="30"/>
    </row>
    <row r="100" spans="3:26" ht="12" customHeight="1" thickTop="1" thickBot="1">
      <c r="C100" s="219"/>
      <c r="D100" s="67"/>
      <c r="E100" s="67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8"/>
      <c r="Q100" s="58"/>
      <c r="R100" s="212"/>
      <c r="S100" s="111"/>
      <c r="T100" s="111"/>
      <c r="U100" s="30"/>
      <c r="V100" s="30"/>
      <c r="W100" s="30"/>
      <c r="X100" s="30"/>
      <c r="Y100" s="220"/>
      <c r="Z100" s="110"/>
    </row>
    <row r="101" spans="3:26" ht="30" customHeight="1">
      <c r="C101" s="221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8"/>
      <c r="R101" s="212"/>
      <c r="S101" s="111" t="s">
        <v>184</v>
      </c>
      <c r="T101" s="111"/>
      <c r="U101" s="115" t="s">
        <v>187</v>
      </c>
      <c r="V101" s="115"/>
      <c r="W101" s="115"/>
      <c r="X101" s="115"/>
      <c r="Y101" s="222"/>
    </row>
    <row r="102" spans="3:26" ht="15.75">
      <c r="C102" s="19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R102" s="212"/>
      <c r="S102" s="111" t="s">
        <v>186</v>
      </c>
      <c r="T102" s="111"/>
      <c r="U102" s="30" t="s">
        <v>190</v>
      </c>
      <c r="V102" s="30"/>
      <c r="W102" s="30"/>
      <c r="X102" s="30"/>
      <c r="Y102" s="197"/>
    </row>
    <row r="103" spans="3:26" ht="16.5" thickBot="1">
      <c r="C103" s="223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116"/>
      <c r="R103" s="212"/>
      <c r="S103" s="111" t="s">
        <v>185</v>
      </c>
      <c r="T103" s="111"/>
      <c r="U103" s="110" t="s">
        <v>189</v>
      </c>
      <c r="V103" s="110"/>
      <c r="W103" s="110"/>
      <c r="X103" s="110"/>
      <c r="Y103" s="197"/>
    </row>
    <row r="104" spans="3:26" ht="15" customHeight="1">
      <c r="C104" s="238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9"/>
    </row>
    <row r="105" spans="3:26">
      <c r="C105" s="240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9"/>
    </row>
    <row r="106" spans="3:26">
      <c r="C106" s="240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9"/>
    </row>
    <row r="107" spans="3:26">
      <c r="C107" s="227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9"/>
    </row>
    <row r="108" spans="3:26">
      <c r="C108" s="230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9"/>
    </row>
    <row r="109" spans="3:26">
      <c r="C109" s="230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9"/>
    </row>
    <row r="110" spans="3:26">
      <c r="C110" s="227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9"/>
    </row>
    <row r="111" spans="3:26">
      <c r="C111" s="230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9"/>
    </row>
    <row r="112" spans="3:26">
      <c r="C112" s="230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9"/>
    </row>
    <row r="113" spans="3:25" ht="15" customHeight="1">
      <c r="C113" s="227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3"/>
    </row>
    <row r="114" spans="3:25">
      <c r="C114" s="227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3"/>
    </row>
    <row r="115" spans="3:25">
      <c r="C115" s="227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3"/>
    </row>
    <row r="116" spans="3:25">
      <c r="C116" s="227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3"/>
    </row>
    <row r="117" spans="3:25">
      <c r="C117" s="227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3"/>
    </row>
    <row r="118" spans="3:25">
      <c r="C118" s="227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33"/>
    </row>
    <row r="119" spans="3:25">
      <c r="C119" s="227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3"/>
    </row>
    <row r="120" spans="3:25">
      <c r="C120" s="227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9"/>
    </row>
    <row r="121" spans="3:25">
      <c r="C121" s="230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9"/>
    </row>
    <row r="122" spans="3:25">
      <c r="C122" s="230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9"/>
    </row>
    <row r="123" spans="3:25">
      <c r="C123" s="230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9"/>
    </row>
    <row r="124" spans="3:25">
      <c r="C124" s="230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9"/>
    </row>
    <row r="125" spans="3:25">
      <c r="C125" s="230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9"/>
    </row>
    <row r="126" spans="3:25">
      <c r="C126" s="230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9"/>
    </row>
    <row r="127" spans="3:25">
      <c r="C127" s="227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9"/>
    </row>
    <row r="128" spans="3:25">
      <c r="C128" s="230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9"/>
    </row>
    <row r="129" spans="3:25">
      <c r="C129" s="230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9"/>
    </row>
    <row r="130" spans="3:25">
      <c r="C130" s="227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9"/>
    </row>
    <row r="131" spans="3:25">
      <c r="C131" s="230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9"/>
    </row>
    <row r="132" spans="3:25">
      <c r="C132" s="230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9"/>
    </row>
    <row r="133" spans="3:25">
      <c r="C133" s="230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9"/>
    </row>
    <row r="134" spans="3:25">
      <c r="C134" s="230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9"/>
    </row>
    <row r="135" spans="3:25" ht="15" customHeight="1">
      <c r="C135" s="227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3"/>
    </row>
    <row r="136" spans="3:25">
      <c r="C136" s="227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3"/>
    </row>
    <row r="137" spans="3:25">
      <c r="C137" s="227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3"/>
    </row>
    <row r="138" spans="3:25">
      <c r="C138" s="227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3"/>
    </row>
    <row r="139" spans="3:25">
      <c r="C139" s="227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3"/>
    </row>
    <row r="140" spans="3:25" ht="30" customHeight="1">
      <c r="C140" s="198"/>
      <c r="D140" s="234"/>
      <c r="E140" s="236"/>
      <c r="F140" s="236"/>
      <c r="G140" s="236"/>
      <c r="H140" s="5"/>
      <c r="I140" s="5"/>
      <c r="J140" s="5"/>
      <c r="K140" s="5"/>
      <c r="L140" s="5"/>
      <c r="M140" s="5"/>
      <c r="N140" s="5"/>
      <c r="O140" s="5"/>
      <c r="P140" s="5"/>
      <c r="R140" s="5"/>
      <c r="S140" s="231"/>
      <c r="T140" s="231"/>
      <c r="U140" s="231"/>
      <c r="V140" s="231"/>
      <c r="W140" s="231"/>
      <c r="X140" s="231"/>
      <c r="Y140" s="197"/>
    </row>
    <row r="141" spans="3:25" ht="30.75" customHeight="1">
      <c r="C141" s="198"/>
      <c r="D141" s="234"/>
      <c r="E141" s="236"/>
      <c r="F141" s="236"/>
      <c r="G141" s="236"/>
      <c r="H141" s="5"/>
      <c r="I141" s="5"/>
      <c r="J141" s="5"/>
      <c r="K141" s="5"/>
      <c r="L141" s="5"/>
      <c r="M141" s="5"/>
      <c r="N141" s="5"/>
      <c r="O141" s="5"/>
      <c r="P141" s="5"/>
      <c r="R141" s="5"/>
      <c r="S141" s="231"/>
      <c r="T141" s="231"/>
      <c r="U141" s="231"/>
      <c r="V141" s="231"/>
      <c r="W141" s="231"/>
      <c r="X141" s="231"/>
      <c r="Y141" s="197"/>
    </row>
    <row r="142" spans="3:25" ht="30" customHeight="1">
      <c r="C142" s="198"/>
      <c r="D142" s="234"/>
      <c r="E142" s="236"/>
      <c r="F142" s="236"/>
      <c r="G142" s="236"/>
      <c r="H142" s="5"/>
      <c r="I142" s="5"/>
      <c r="J142" s="5"/>
      <c r="K142" s="5"/>
      <c r="L142" s="5"/>
      <c r="M142" s="5"/>
      <c r="N142" s="5"/>
      <c r="O142" s="5"/>
      <c r="P142" s="5"/>
      <c r="R142" s="5"/>
      <c r="S142" s="231"/>
      <c r="T142" s="231"/>
      <c r="U142" s="231"/>
      <c r="V142" s="231"/>
      <c r="W142" s="231"/>
      <c r="X142" s="231"/>
      <c r="Y142" s="197"/>
    </row>
    <row r="143" spans="3:25">
      <c r="C143" s="198"/>
      <c r="D143" s="234"/>
      <c r="E143" s="237"/>
      <c r="F143" s="237"/>
      <c r="G143" s="237"/>
      <c r="H143" s="5"/>
      <c r="I143" s="5"/>
      <c r="J143" s="5"/>
      <c r="K143" s="5"/>
      <c r="L143" s="5"/>
      <c r="M143" s="5"/>
      <c r="N143" s="5"/>
      <c r="O143" s="5"/>
      <c r="P143" s="5"/>
      <c r="R143" s="5"/>
      <c r="S143" s="231"/>
      <c r="T143" s="231"/>
      <c r="U143" s="231"/>
      <c r="V143" s="231"/>
      <c r="W143" s="231"/>
      <c r="X143" s="231"/>
      <c r="Y143" s="197"/>
    </row>
    <row r="144" spans="3:25">
      <c r="C144" s="198"/>
      <c r="D144" s="234"/>
      <c r="E144" s="22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R144" s="5"/>
      <c r="S144" s="231"/>
      <c r="T144" s="231"/>
      <c r="U144" s="231"/>
      <c r="V144" s="231"/>
      <c r="W144" s="231"/>
      <c r="X144" s="231"/>
      <c r="Y144" s="197"/>
    </row>
    <row r="145" spans="3:25">
      <c r="C145" s="225"/>
      <c r="D145" s="235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226"/>
    </row>
  </sheetData>
  <mergeCells count="45">
    <mergeCell ref="S84:X84"/>
    <mergeCell ref="AI29:AK29"/>
    <mergeCell ref="AH53:AH56"/>
    <mergeCell ref="Z55:Z60"/>
    <mergeCell ref="C62:X62"/>
    <mergeCell ref="C67:O67"/>
    <mergeCell ref="S67:X67"/>
    <mergeCell ref="S98:X98"/>
    <mergeCell ref="S95:X95"/>
    <mergeCell ref="S89:X89"/>
    <mergeCell ref="C63:X63"/>
    <mergeCell ref="C64:Y64"/>
    <mergeCell ref="S78:X78"/>
    <mergeCell ref="C66:O66"/>
    <mergeCell ref="E68:I68"/>
    <mergeCell ref="S76:X76"/>
    <mergeCell ref="K68:O68"/>
    <mergeCell ref="S97:X97"/>
    <mergeCell ref="S94:X94"/>
    <mergeCell ref="S91:X91"/>
    <mergeCell ref="S82:X82"/>
    <mergeCell ref="S81:X81"/>
    <mergeCell ref="S88:X88"/>
    <mergeCell ref="C2:X2"/>
    <mergeCell ref="C3:X3"/>
    <mergeCell ref="C4:X4"/>
    <mergeCell ref="S66:X66"/>
    <mergeCell ref="E7:I7"/>
    <mergeCell ref="K7:O7"/>
    <mergeCell ref="C5:X5"/>
    <mergeCell ref="C6:X6"/>
    <mergeCell ref="C104:Y106"/>
    <mergeCell ref="C107:Y109"/>
    <mergeCell ref="C110:Y112"/>
    <mergeCell ref="C113:Y119"/>
    <mergeCell ref="C120:Y126"/>
    <mergeCell ref="C127:Y129"/>
    <mergeCell ref="S140:X144"/>
    <mergeCell ref="C130:Y134"/>
    <mergeCell ref="C135:Y139"/>
    <mergeCell ref="D140:D145"/>
    <mergeCell ref="E140:G140"/>
    <mergeCell ref="E141:G141"/>
    <mergeCell ref="E142:G142"/>
    <mergeCell ref="E143:G143"/>
  </mergeCells>
  <phoneticPr fontId="10" type="noConversion"/>
  <printOptions horizontalCentered="1"/>
  <pageMargins left="0.23622047244094491" right="0.11811023622047245" top="0.28000000000000003" bottom="0.19685039370078741" header="0.19685039370078741" footer="0.2"/>
  <pageSetup paperSize="8" scale="43" firstPageNumber="0" orientation="portrait" horizontalDpi="300" verticalDpi="300" r:id="rId1"/>
  <headerFooter alignWithMargins="0"/>
  <rowBreaks count="1" manualBreakCount="1">
    <brk id="65" min="2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BZ74"/>
  <sheetViews>
    <sheetView topLeftCell="B7" zoomScale="60" zoomScaleNormal="60" workbookViewId="0">
      <selection activeCell="E63" sqref="E63:E64"/>
    </sheetView>
  </sheetViews>
  <sheetFormatPr defaultRowHeight="15"/>
  <cols>
    <col min="1" max="1" width="15.140625" style="1" hidden="1" customWidth="1"/>
    <col min="2" max="2" width="15.140625" style="1" customWidth="1"/>
    <col min="3" max="3" width="5.85546875" style="1" customWidth="1"/>
    <col min="4" max="4" width="9.140625" style="1"/>
    <col min="5" max="5" width="38" style="1" customWidth="1"/>
    <col min="6" max="6" width="14.7109375" style="2" customWidth="1"/>
    <col min="7" max="7" width="2.140625" style="1" customWidth="1"/>
    <col min="8" max="8" width="19.42578125" style="1" customWidth="1"/>
    <col min="9" max="9" width="2" style="1" customWidth="1"/>
    <col min="10" max="10" width="14.5703125" style="1" customWidth="1"/>
    <col min="11" max="11" width="2" style="1" customWidth="1"/>
    <col min="12" max="12" width="18.5703125" style="1" customWidth="1"/>
    <col min="13" max="13" width="4.5703125" style="1" customWidth="1"/>
    <col min="14" max="14" width="3.7109375" style="1" customWidth="1"/>
    <col min="15" max="15" width="20.85546875" style="1" customWidth="1"/>
    <col min="16" max="16" width="13.140625" style="1" customWidth="1"/>
    <col min="17" max="17" width="16.42578125" style="1" bestFit="1" customWidth="1"/>
    <col min="18" max="18" width="1.85546875" style="1" customWidth="1"/>
    <col min="19" max="19" width="20.140625" style="1" customWidth="1"/>
    <col min="20" max="20" width="1.7109375" style="1" customWidth="1"/>
    <col min="21" max="21" width="14.5703125" style="1" customWidth="1"/>
    <col min="22" max="22" width="1.5703125" style="1" customWidth="1"/>
    <col min="23" max="23" width="20.7109375" style="1" customWidth="1"/>
    <col min="24" max="24" width="2.42578125" style="3" customWidth="1"/>
    <col min="25" max="25" width="13.42578125" style="3" hidden="1" customWidth="1"/>
    <col min="26" max="26" width="0" style="3" hidden="1" customWidth="1"/>
    <col min="27" max="27" width="15.5703125" style="13" hidden="1" customWidth="1"/>
    <col min="28" max="31" width="9.140625" style="3"/>
    <col min="32" max="32" width="14" style="3" bestFit="1" customWidth="1"/>
    <col min="33" max="78" width="9.140625" style="3"/>
    <col min="79" max="16384" width="9.140625" style="1"/>
  </cols>
  <sheetData>
    <row r="2" spans="3:24">
      <c r="C2" s="274" t="s">
        <v>0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102"/>
    </row>
    <row r="3" spans="3:24">
      <c r="C3" s="276" t="s">
        <v>1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103"/>
    </row>
    <row r="4" spans="3:24">
      <c r="C4" s="276" t="s">
        <v>165</v>
      </c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103"/>
    </row>
    <row r="5" spans="3:24">
      <c r="C5" s="276" t="s">
        <v>166</v>
      </c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103"/>
    </row>
    <row r="6" spans="3:24">
      <c r="C6" s="104"/>
      <c r="D6" s="105"/>
      <c r="E6" s="105"/>
      <c r="F6" s="106"/>
      <c r="G6" s="105"/>
      <c r="H6" s="105"/>
      <c r="I6" s="105"/>
      <c r="J6" s="105"/>
      <c r="K6" s="105"/>
      <c r="L6" s="105"/>
      <c r="M6" s="105"/>
      <c r="N6" s="105"/>
      <c r="O6" s="105"/>
      <c r="P6" s="107"/>
      <c r="Q6" s="107"/>
      <c r="R6" s="107"/>
      <c r="S6" s="107"/>
      <c r="T6" s="107"/>
      <c r="U6" s="107"/>
      <c r="V6" s="107"/>
      <c r="W6" s="107"/>
      <c r="X6" s="108"/>
    </row>
    <row r="7" spans="3:24" ht="33" customHeight="1">
      <c r="C7" s="283" t="s">
        <v>230</v>
      </c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109"/>
    </row>
    <row r="8" spans="3:24">
      <c r="C8" s="76"/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93"/>
    </row>
    <row r="9" spans="3:24" ht="42" customHeight="1">
      <c r="C9" s="76"/>
      <c r="D9" s="6" t="s">
        <v>2</v>
      </c>
      <c r="E9" s="4"/>
      <c r="F9" s="285" t="s">
        <v>232</v>
      </c>
      <c r="G9" s="285"/>
      <c r="H9" s="285"/>
      <c r="I9" s="7"/>
      <c r="J9" s="286" t="s">
        <v>231</v>
      </c>
      <c r="K9" s="286"/>
      <c r="L9" s="286"/>
      <c r="M9" s="8"/>
      <c r="N9" s="4"/>
      <c r="O9" s="6" t="s">
        <v>3</v>
      </c>
      <c r="P9" s="4"/>
      <c r="Q9" s="286" t="str">
        <f>F9</f>
        <v>Ποσά κλειόμενης χρήσης
2015</v>
      </c>
      <c r="R9" s="286"/>
      <c r="S9" s="286"/>
      <c r="T9" s="8"/>
      <c r="U9" s="287" t="str">
        <f>J9</f>
        <v>Ποσά προηγούμενης χρήσης 
2014</v>
      </c>
      <c r="V9" s="287"/>
      <c r="W9" s="286"/>
      <c r="X9" s="90"/>
    </row>
    <row r="10" spans="3:24">
      <c r="C10" s="76"/>
      <c r="D10" s="4"/>
      <c r="E10" s="4"/>
      <c r="F10" s="5"/>
      <c r="G10" s="4"/>
      <c r="H10" s="4"/>
      <c r="I10" s="4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90"/>
    </row>
    <row r="11" spans="3:24">
      <c r="C11" s="76"/>
      <c r="D11" s="9" t="s">
        <v>4</v>
      </c>
      <c r="E11" s="4"/>
      <c r="F11" s="5"/>
      <c r="G11" s="4"/>
      <c r="H11" s="4"/>
      <c r="I11" s="4"/>
      <c r="J11" s="5"/>
      <c r="K11" s="4"/>
      <c r="L11" s="4"/>
      <c r="M11" s="4"/>
      <c r="N11" s="4"/>
      <c r="O11" s="9" t="s">
        <v>5</v>
      </c>
      <c r="P11" s="9"/>
      <c r="Q11" s="4"/>
      <c r="R11" s="4"/>
      <c r="S11" s="4"/>
      <c r="T11" s="4"/>
      <c r="U11" s="4"/>
      <c r="V11" s="4"/>
      <c r="W11" s="4"/>
      <c r="X11" s="90"/>
    </row>
    <row r="12" spans="3:24">
      <c r="C12" s="77">
        <v>24</v>
      </c>
      <c r="D12" s="4" t="s">
        <v>6</v>
      </c>
      <c r="E12" s="4"/>
      <c r="F12" s="40">
        <v>52502.83</v>
      </c>
      <c r="G12" s="4"/>
      <c r="H12" s="5"/>
      <c r="I12" s="4"/>
      <c r="J12" s="40">
        <v>52373.94</v>
      </c>
      <c r="K12" s="4"/>
      <c r="L12" s="5"/>
      <c r="M12" s="4"/>
      <c r="N12" s="10">
        <v>73</v>
      </c>
      <c r="O12" s="4" t="s">
        <v>7</v>
      </c>
      <c r="P12" s="4"/>
      <c r="Q12" s="5"/>
      <c r="R12" s="5"/>
      <c r="S12" s="4"/>
      <c r="T12" s="4"/>
      <c r="U12" s="5"/>
      <c r="V12" s="5"/>
      <c r="W12" s="4"/>
      <c r="X12" s="90"/>
    </row>
    <row r="13" spans="3:24">
      <c r="C13" s="78">
        <v>25</v>
      </c>
      <c r="D13" s="11" t="s">
        <v>8</v>
      </c>
      <c r="E13" s="4"/>
      <c r="F13" s="40">
        <v>43096.75</v>
      </c>
      <c r="G13" s="5"/>
      <c r="H13" s="5"/>
      <c r="I13" s="4"/>
      <c r="J13" s="40">
        <v>39214.18</v>
      </c>
      <c r="K13" s="5"/>
      <c r="L13" s="5"/>
      <c r="M13" s="4"/>
      <c r="N13" s="10"/>
      <c r="O13" s="4" t="s">
        <v>9</v>
      </c>
      <c r="P13" s="4"/>
      <c r="Q13" s="40">
        <f>546946.83+1306.75</f>
        <v>548253.57999999996</v>
      </c>
      <c r="R13" s="5"/>
      <c r="S13" s="12">
        <f>Q13</f>
        <v>548253.57999999996</v>
      </c>
      <c r="T13" s="4"/>
      <c r="U13" s="40">
        <v>606130.63</v>
      </c>
      <c r="V13" s="5"/>
      <c r="W13" s="12">
        <f>U13</f>
        <v>606130.63</v>
      </c>
      <c r="X13" s="94"/>
    </row>
    <row r="14" spans="3:24">
      <c r="C14" s="78">
        <v>26</v>
      </c>
      <c r="D14" s="11" t="s">
        <v>10</v>
      </c>
      <c r="E14" s="4"/>
      <c r="F14" s="45">
        <v>0</v>
      </c>
      <c r="G14" s="5"/>
      <c r="H14" s="12">
        <f>SUM(F12:F14)</f>
        <v>95599.58</v>
      </c>
      <c r="I14" s="4"/>
      <c r="J14" s="12">
        <v>0</v>
      </c>
      <c r="K14" s="5"/>
      <c r="L14" s="12">
        <f>SUM(J12:J14)</f>
        <v>91588.12</v>
      </c>
      <c r="M14" s="4"/>
      <c r="N14" s="10"/>
      <c r="O14" s="4"/>
      <c r="P14" s="4"/>
      <c r="Q14" s="4"/>
      <c r="R14" s="5"/>
      <c r="S14" s="4"/>
      <c r="T14" s="4"/>
      <c r="U14" s="4"/>
      <c r="V14" s="5"/>
      <c r="W14" s="4"/>
      <c r="X14" s="90"/>
    </row>
    <row r="15" spans="3:24">
      <c r="C15" s="76"/>
      <c r="D15" s="4"/>
      <c r="E15" s="4"/>
      <c r="F15" s="5"/>
      <c r="G15" s="5"/>
      <c r="H15" s="5"/>
      <c r="I15" s="4"/>
      <c r="J15" s="5"/>
      <c r="K15" s="5"/>
      <c r="L15" s="5"/>
      <c r="M15" s="4"/>
      <c r="N15" s="4"/>
      <c r="O15" s="9" t="s">
        <v>11</v>
      </c>
      <c r="P15" s="9"/>
      <c r="Q15" s="5"/>
      <c r="R15" s="5"/>
      <c r="S15" s="5"/>
      <c r="T15" s="5"/>
      <c r="U15" s="5"/>
      <c r="V15" s="5"/>
      <c r="W15" s="5"/>
      <c r="X15" s="90"/>
    </row>
    <row r="16" spans="3:24">
      <c r="C16" s="76"/>
      <c r="D16" s="9" t="s">
        <v>12</v>
      </c>
      <c r="E16" s="4"/>
      <c r="F16" s="5"/>
      <c r="G16" s="5"/>
      <c r="H16" s="5"/>
      <c r="I16" s="4"/>
      <c r="J16" s="5"/>
      <c r="K16" s="5"/>
      <c r="L16" s="5"/>
      <c r="M16" s="4"/>
      <c r="N16" s="10">
        <v>74</v>
      </c>
      <c r="O16" s="4" t="s">
        <v>13</v>
      </c>
      <c r="P16" s="4"/>
      <c r="Q16" s="40">
        <f>1332433.05+14121.43</f>
        <v>1346554.48</v>
      </c>
      <c r="R16" s="5"/>
      <c r="S16" s="4"/>
      <c r="T16" s="4"/>
      <c r="U16" s="40">
        <v>1387706.4</v>
      </c>
      <c r="V16" s="5"/>
      <c r="W16" s="4"/>
      <c r="X16" s="90"/>
    </row>
    <row r="17" spans="1:27">
      <c r="A17" s="2">
        <f>+F12+F17-F23</f>
        <v>176298.14</v>
      </c>
      <c r="B17" s="2"/>
      <c r="C17" s="77">
        <v>24</v>
      </c>
      <c r="D17" s="4" t="s">
        <v>6</v>
      </c>
      <c r="E17" s="4"/>
      <c r="F17" s="40">
        <v>161304.38</v>
      </c>
      <c r="G17" s="5"/>
      <c r="H17" s="95">
        <f>+F17+F12</f>
        <v>213807.21000000002</v>
      </c>
      <c r="I17" s="4"/>
      <c r="J17" s="40">
        <v>233733.1</v>
      </c>
      <c r="K17" s="5"/>
      <c r="L17" s="95">
        <f>+J17+J12</f>
        <v>286107.04000000004</v>
      </c>
      <c r="M17" s="4"/>
      <c r="N17" s="10">
        <v>75</v>
      </c>
      <c r="O17" s="4" t="s">
        <v>14</v>
      </c>
      <c r="P17" s="4"/>
      <c r="Q17" s="40">
        <v>119453.38</v>
      </c>
      <c r="R17" s="5"/>
      <c r="S17" s="4"/>
      <c r="T17" s="5"/>
      <c r="U17" s="40">
        <v>135049.35999999999</v>
      </c>
      <c r="V17" s="5"/>
      <c r="W17" s="4"/>
      <c r="X17" s="90"/>
      <c r="Y17" s="13"/>
    </row>
    <row r="18" spans="1:27">
      <c r="A18" s="2">
        <f>+F13+F18-F24</f>
        <v>59105.149999999987</v>
      </c>
      <c r="B18" s="2"/>
      <c r="C18" s="78">
        <v>25</v>
      </c>
      <c r="D18" s="11" t="s">
        <v>8</v>
      </c>
      <c r="E18" s="4"/>
      <c r="F18" s="40">
        <v>49295.02</v>
      </c>
      <c r="G18" s="5"/>
      <c r="H18" s="95">
        <f>+F18+F13</f>
        <v>92391.76999999999</v>
      </c>
      <c r="I18" s="4"/>
      <c r="J18" s="40">
        <v>64290.43</v>
      </c>
      <c r="K18" s="5"/>
      <c r="L18" s="95">
        <f>+J18+J13</f>
        <v>103504.61</v>
      </c>
      <c r="M18" s="4"/>
      <c r="N18" s="10">
        <v>76</v>
      </c>
      <c r="O18" s="4" t="s">
        <v>15</v>
      </c>
      <c r="P18" s="4"/>
      <c r="Q18" s="45">
        <v>3226.68</v>
      </c>
      <c r="R18" s="5"/>
      <c r="S18" s="12">
        <f>SUM(Q16:Q18)</f>
        <v>1469234.5399999998</v>
      </c>
      <c r="T18" s="4"/>
      <c r="U18" s="45">
        <v>14932.35</v>
      </c>
      <c r="V18" s="5"/>
      <c r="W18" s="12">
        <f>SUM(U16:U18)</f>
        <v>1537688.1099999999</v>
      </c>
      <c r="X18" s="90"/>
    </row>
    <row r="19" spans="1:27">
      <c r="A19" s="2">
        <f>+F14+F19-F25</f>
        <v>0</v>
      </c>
      <c r="B19" s="2"/>
      <c r="C19" s="78">
        <v>26</v>
      </c>
      <c r="D19" s="11" t="s">
        <v>10</v>
      </c>
      <c r="E19" s="4"/>
      <c r="F19" s="45">
        <v>0</v>
      </c>
      <c r="G19" s="5"/>
      <c r="H19" s="12">
        <f>SUM(F17:F19)</f>
        <v>210599.4</v>
      </c>
      <c r="I19" s="4"/>
      <c r="J19" s="45">
        <v>0</v>
      </c>
      <c r="K19" s="5"/>
      <c r="L19" s="12">
        <f>SUM(J17:J19)</f>
        <v>298023.53000000003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90"/>
      <c r="AA19" s="13">
        <f>+F12+F17</f>
        <v>213807.21000000002</v>
      </c>
    </row>
    <row r="20" spans="1:27">
      <c r="C20" s="76"/>
      <c r="D20" s="278" t="s">
        <v>16</v>
      </c>
      <c r="E20" s="278"/>
      <c r="F20" s="278"/>
      <c r="G20" s="4"/>
      <c r="H20" s="5">
        <f>H14+H19</f>
        <v>306198.98</v>
      </c>
      <c r="I20" s="4"/>
      <c r="J20" s="5"/>
      <c r="K20" s="4"/>
      <c r="L20" s="5">
        <f>L14+L19</f>
        <v>389611.65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90"/>
      <c r="AA20" s="13">
        <f>+F13+F18</f>
        <v>92391.76999999999</v>
      </c>
    </row>
    <row r="21" spans="1:27" ht="13.5" customHeight="1">
      <c r="C21" s="76"/>
      <c r="D21" s="279"/>
      <c r="E21" s="279"/>
      <c r="F21" s="5"/>
      <c r="G21" s="4"/>
      <c r="H21" s="5"/>
      <c r="I21" s="4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90"/>
      <c r="AA21" s="13">
        <f>+F14+F19</f>
        <v>0</v>
      </c>
    </row>
    <row r="22" spans="1:27">
      <c r="C22" s="76"/>
      <c r="D22" s="9" t="s">
        <v>17</v>
      </c>
      <c r="E22" s="4"/>
      <c r="F22" s="5"/>
      <c r="G22" s="5"/>
      <c r="H22" s="4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90"/>
    </row>
    <row r="23" spans="1:27">
      <c r="C23" s="77">
        <v>24</v>
      </c>
      <c r="D23" s="4" t="s">
        <v>6</v>
      </c>
      <c r="E23" s="4"/>
      <c r="F23" s="40">
        <v>37509.07</v>
      </c>
      <c r="G23" s="5"/>
      <c r="H23" s="5"/>
      <c r="I23" s="4"/>
      <c r="J23" s="40">
        <v>52502.83</v>
      </c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90"/>
      <c r="Y23" s="13">
        <f>+F12+F17-F23</f>
        <v>176298.14</v>
      </c>
    </row>
    <row r="24" spans="1:27">
      <c r="A24" s="2"/>
      <c r="B24" s="2"/>
      <c r="C24" s="78">
        <v>25</v>
      </c>
      <c r="D24" s="11" t="s">
        <v>8</v>
      </c>
      <c r="E24" s="4"/>
      <c r="F24" s="40">
        <v>33286.620000000003</v>
      </c>
      <c r="G24" s="5"/>
      <c r="H24" s="5"/>
      <c r="I24" s="4"/>
      <c r="J24" s="40">
        <v>43096.75</v>
      </c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90"/>
      <c r="Y24" s="13">
        <f>+F13+F18-F24</f>
        <v>59105.149999999987</v>
      </c>
    </row>
    <row r="25" spans="1:27">
      <c r="A25" s="2"/>
      <c r="B25" s="2"/>
      <c r="C25" s="78">
        <v>26</v>
      </c>
      <c r="D25" s="11" t="s">
        <v>10</v>
      </c>
      <c r="E25" s="4"/>
      <c r="F25" s="45">
        <v>0</v>
      </c>
      <c r="G25" s="5"/>
      <c r="H25" s="12">
        <f>SUM(F23:F25)</f>
        <v>70795.69</v>
      </c>
      <c r="I25" s="4"/>
      <c r="J25" s="45">
        <v>0</v>
      </c>
      <c r="K25" s="5"/>
      <c r="L25" s="12">
        <f>SUM(J23:J25)</f>
        <v>95599.58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94"/>
      <c r="Y25" s="13">
        <f>+F14+F19-F25</f>
        <v>0</v>
      </c>
    </row>
    <row r="26" spans="1:27">
      <c r="C26" s="76"/>
      <c r="D26" s="4"/>
      <c r="E26" s="4"/>
      <c r="F26" s="5"/>
      <c r="G26" s="5"/>
      <c r="H26" s="5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90"/>
      <c r="Y26" s="13">
        <f>SUM(Y23:Y25)</f>
        <v>235403.29</v>
      </c>
    </row>
    <row r="27" spans="1:27">
      <c r="C27" s="76"/>
      <c r="D27" s="9" t="s">
        <v>18</v>
      </c>
      <c r="E27" s="4"/>
      <c r="F27" s="5"/>
      <c r="G27" s="5"/>
      <c r="H27" s="12">
        <f>H20-H25</f>
        <v>235403.28999999998</v>
      </c>
      <c r="I27" s="4"/>
      <c r="J27" s="5"/>
      <c r="K27" s="5"/>
      <c r="L27" s="12">
        <f>L20-L25</f>
        <v>294012.07</v>
      </c>
      <c r="M27" s="4"/>
      <c r="N27" s="4"/>
      <c r="O27" s="4"/>
      <c r="P27" s="4"/>
      <c r="Q27" s="5"/>
      <c r="R27" s="4"/>
      <c r="S27" s="4"/>
      <c r="T27" s="4"/>
      <c r="U27" s="5"/>
      <c r="V27" s="4"/>
      <c r="W27" s="4"/>
      <c r="X27" s="94"/>
    </row>
    <row r="28" spans="1:27">
      <c r="C28" s="76"/>
      <c r="D28" s="9"/>
      <c r="E28" s="9"/>
      <c r="F28" s="48"/>
      <c r="G28" s="4"/>
      <c r="H28" s="5"/>
      <c r="I28" s="4"/>
      <c r="J28" s="5"/>
      <c r="K28" s="4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90"/>
    </row>
    <row r="29" spans="1:27">
      <c r="C29" s="76"/>
      <c r="D29" s="9" t="s">
        <v>19</v>
      </c>
      <c r="E29" s="4"/>
      <c r="F29" s="5"/>
      <c r="G29" s="4"/>
      <c r="H29" s="5"/>
      <c r="I29" s="5"/>
      <c r="J29" s="5"/>
      <c r="K29" s="4"/>
      <c r="L29" s="5"/>
      <c r="M29" s="5"/>
      <c r="N29" s="4"/>
      <c r="O29" s="4"/>
      <c r="P29" s="4"/>
      <c r="Q29" s="4"/>
      <c r="R29" s="4"/>
      <c r="S29" s="4"/>
      <c r="T29" s="4"/>
      <c r="U29" s="4"/>
      <c r="V29" s="4"/>
      <c r="W29" s="4"/>
      <c r="X29" s="90"/>
    </row>
    <row r="30" spans="1:27">
      <c r="C30" s="79">
        <v>60</v>
      </c>
      <c r="D30" s="4" t="s">
        <v>20</v>
      </c>
      <c r="E30" s="4"/>
      <c r="F30" s="40">
        <f>1348516.31+14121.43</f>
        <v>1362637.74</v>
      </c>
      <c r="G30" s="5"/>
      <c r="H30" s="5"/>
      <c r="I30" s="5"/>
      <c r="J30" s="40">
        <v>1422365.28</v>
      </c>
      <c r="K30" s="5"/>
      <c r="L30" s="5"/>
      <c r="M30" s="5"/>
      <c r="N30" s="4"/>
      <c r="O30" s="5"/>
      <c r="P30" s="4"/>
      <c r="Q30" s="4"/>
      <c r="R30" s="4"/>
      <c r="S30" s="4"/>
      <c r="T30" s="4"/>
      <c r="U30" s="4"/>
      <c r="V30" s="4"/>
      <c r="W30" s="4"/>
      <c r="X30" s="90"/>
      <c r="AA30" s="13">
        <v>2299556.11</v>
      </c>
    </row>
    <row r="31" spans="1:27">
      <c r="C31" s="79">
        <v>61</v>
      </c>
      <c r="D31" s="4" t="s">
        <v>21</v>
      </c>
      <c r="E31" s="4"/>
      <c r="F31" s="40">
        <f>185346.42+7380</f>
        <v>192726.42</v>
      </c>
      <c r="G31" s="5"/>
      <c r="H31" s="5"/>
      <c r="I31" s="5"/>
      <c r="J31" s="40">
        <v>182801.13</v>
      </c>
      <c r="K31" s="5"/>
      <c r="L31" s="5"/>
      <c r="M31" s="5"/>
      <c r="N31" s="4"/>
      <c r="O31" s="5"/>
      <c r="P31" s="4"/>
      <c r="Q31" s="4"/>
      <c r="R31" s="4"/>
      <c r="S31" s="4"/>
      <c r="T31" s="4"/>
      <c r="U31" s="4"/>
      <c r="V31" s="4"/>
      <c r="W31" s="4"/>
      <c r="X31" s="90"/>
      <c r="AA31" s="13">
        <v>5181.37</v>
      </c>
    </row>
    <row r="32" spans="1:27">
      <c r="C32" s="79">
        <v>62</v>
      </c>
      <c r="D32" s="4" t="s">
        <v>22</v>
      </c>
      <c r="E32" s="4"/>
      <c r="F32" s="40">
        <v>183890.71</v>
      </c>
      <c r="G32" s="5"/>
      <c r="H32" s="5"/>
      <c r="I32" s="5"/>
      <c r="J32" s="40">
        <v>196626.24</v>
      </c>
      <c r="K32" s="5"/>
      <c r="L32" s="5"/>
      <c r="M32" s="5"/>
      <c r="N32" s="4"/>
      <c r="O32" s="5"/>
      <c r="P32" s="4"/>
      <c r="Q32" s="4"/>
      <c r="R32" s="4"/>
      <c r="S32" s="4"/>
      <c r="T32" s="4"/>
      <c r="U32" s="4"/>
      <c r="V32" s="4"/>
      <c r="W32" s="4"/>
      <c r="X32" s="90"/>
      <c r="AA32" s="13">
        <f>SUM(AA30:AA31)</f>
        <v>2304737.48</v>
      </c>
    </row>
    <row r="33" spans="3:32">
      <c r="C33" s="79">
        <v>63</v>
      </c>
      <c r="D33" s="4" t="s">
        <v>23</v>
      </c>
      <c r="E33" s="4"/>
      <c r="F33" s="40">
        <v>40453.46</v>
      </c>
      <c r="G33" s="4"/>
      <c r="H33" s="5"/>
      <c r="I33" s="5"/>
      <c r="J33" s="40">
        <v>40777.449999999997</v>
      </c>
      <c r="K33" s="4"/>
      <c r="L33" s="4"/>
      <c r="M33" s="5"/>
      <c r="N33" s="4"/>
      <c r="O33" s="5"/>
      <c r="P33" s="4"/>
      <c r="Q33" s="4"/>
      <c r="R33" s="4"/>
      <c r="S33" s="4"/>
      <c r="T33" s="4"/>
      <c r="U33" s="4"/>
      <c r="V33" s="4"/>
      <c r="W33" s="4"/>
      <c r="X33" s="90"/>
    </row>
    <row r="34" spans="3:32">
      <c r="C34" s="76"/>
      <c r="D34" s="4" t="s">
        <v>24</v>
      </c>
      <c r="E34" s="4"/>
      <c r="F34" s="40"/>
      <c r="G34" s="5"/>
      <c r="H34" s="5"/>
      <c r="I34" s="5"/>
      <c r="J34" s="40"/>
      <c r="K34" s="5"/>
      <c r="L34" s="4"/>
      <c r="M34" s="5"/>
      <c r="N34" s="4"/>
      <c r="O34" s="5"/>
      <c r="P34" s="4"/>
      <c r="Q34" s="4"/>
      <c r="R34" s="4"/>
      <c r="S34" s="4"/>
      <c r="T34" s="4"/>
      <c r="U34" s="4"/>
      <c r="V34" s="4"/>
      <c r="W34" s="4"/>
      <c r="X34" s="90"/>
    </row>
    <row r="35" spans="3:32">
      <c r="C35" s="79">
        <v>64</v>
      </c>
      <c r="D35" s="4" t="s">
        <v>25</v>
      </c>
      <c r="E35" s="4"/>
      <c r="F35" s="40">
        <v>47093.02</v>
      </c>
      <c r="G35" s="5"/>
      <c r="H35" s="4"/>
      <c r="I35" s="5"/>
      <c r="J35" s="40">
        <v>50509.3</v>
      </c>
      <c r="K35" s="5"/>
      <c r="L35" s="4"/>
      <c r="M35" s="5"/>
      <c r="N35" s="4"/>
      <c r="O35" s="5"/>
      <c r="P35" s="4"/>
      <c r="Q35" s="4"/>
      <c r="R35" s="4"/>
      <c r="S35" s="4"/>
      <c r="T35" s="4"/>
      <c r="U35" s="4"/>
      <c r="V35" s="4"/>
      <c r="W35" s="4"/>
      <c r="X35" s="90"/>
    </row>
    <row r="36" spans="3:32">
      <c r="C36" s="79">
        <v>65</v>
      </c>
      <c r="D36" s="4" t="s">
        <v>26</v>
      </c>
      <c r="E36" s="4"/>
      <c r="F36" s="40">
        <v>40.72</v>
      </c>
      <c r="G36" s="5"/>
      <c r="H36" s="4"/>
      <c r="I36" s="5"/>
      <c r="J36" s="40">
        <v>14.83</v>
      </c>
      <c r="K36" s="5"/>
      <c r="L36" s="4"/>
      <c r="M36" s="5"/>
      <c r="N36" s="4"/>
      <c r="O36" s="4"/>
      <c r="P36" s="4"/>
      <c r="Q36" s="4"/>
      <c r="R36" s="4"/>
      <c r="S36" s="4"/>
      <c r="T36" s="4"/>
      <c r="U36" s="4"/>
      <c r="V36" s="4"/>
      <c r="W36" s="4"/>
      <c r="X36" s="90"/>
    </row>
    <row r="37" spans="3:32">
      <c r="C37" s="79">
        <v>66</v>
      </c>
      <c r="D37" s="4" t="s">
        <v>27</v>
      </c>
      <c r="E37" s="4"/>
      <c r="F37" s="40">
        <v>238997.23</v>
      </c>
      <c r="G37" s="4"/>
      <c r="H37" s="4"/>
      <c r="I37" s="5"/>
      <c r="J37" s="40">
        <v>245085.77</v>
      </c>
      <c r="K37" s="4"/>
      <c r="L37" s="4"/>
      <c r="M37" s="5"/>
      <c r="N37" s="4"/>
      <c r="O37" s="4"/>
      <c r="P37" s="4"/>
      <c r="Q37" s="4"/>
      <c r="R37" s="4"/>
      <c r="S37" s="4"/>
      <c r="T37" s="4"/>
      <c r="U37" s="4"/>
      <c r="V37" s="4"/>
      <c r="W37" s="4"/>
      <c r="X37" s="90"/>
      <c r="AF37" s="13">
        <f>+S18-H40</f>
        <v>-596604.76</v>
      </c>
    </row>
    <row r="38" spans="3:32">
      <c r="C38" s="76"/>
      <c r="D38" s="4" t="s">
        <v>28</v>
      </c>
      <c r="E38" s="4"/>
      <c r="F38" s="40"/>
      <c r="G38" s="5"/>
      <c r="H38" s="5"/>
      <c r="I38" s="5"/>
      <c r="J38" s="40"/>
      <c r="K38" s="5"/>
      <c r="L38" s="5"/>
      <c r="M38" s="5"/>
      <c r="N38" s="4"/>
      <c r="O38" s="4"/>
      <c r="P38" s="4"/>
      <c r="Q38" s="4"/>
      <c r="R38" s="4"/>
      <c r="S38" s="4"/>
      <c r="T38" s="4"/>
      <c r="U38" s="4"/>
      <c r="V38" s="4"/>
      <c r="W38" s="4"/>
      <c r="X38" s="90"/>
    </row>
    <row r="39" spans="3:32">
      <c r="C39" s="79">
        <v>67</v>
      </c>
      <c r="D39" s="4" t="s">
        <v>29</v>
      </c>
      <c r="E39" s="4"/>
      <c r="F39" s="40">
        <v>0</v>
      </c>
      <c r="G39" s="5"/>
      <c r="H39" s="4"/>
      <c r="I39" s="5"/>
      <c r="J39" s="40">
        <v>0</v>
      </c>
      <c r="K39" s="5"/>
      <c r="L39" s="4"/>
      <c r="M39" s="5"/>
      <c r="N39" s="4"/>
      <c r="O39" s="4"/>
      <c r="P39" s="4"/>
      <c r="Q39" s="4"/>
      <c r="R39" s="4"/>
      <c r="S39" s="4"/>
      <c r="T39" s="4"/>
      <c r="U39" s="4"/>
      <c r="V39" s="4"/>
      <c r="W39" s="4"/>
      <c r="X39" s="90"/>
    </row>
    <row r="40" spans="3:32">
      <c r="C40" s="79">
        <v>68</v>
      </c>
      <c r="D40" s="4" t="s">
        <v>30</v>
      </c>
      <c r="E40" s="4"/>
      <c r="F40" s="45">
        <v>0</v>
      </c>
      <c r="G40" s="5"/>
      <c r="H40" s="12">
        <f>SUM(F30:F40)</f>
        <v>2065839.2999999998</v>
      </c>
      <c r="I40" s="5"/>
      <c r="J40" s="45">
        <v>0</v>
      </c>
      <c r="K40" s="5"/>
      <c r="L40" s="12">
        <f>SUM(J30:J40)</f>
        <v>2138180</v>
      </c>
      <c r="M40" s="5"/>
      <c r="N40" s="4"/>
      <c r="O40" s="4"/>
      <c r="P40" s="4"/>
      <c r="Q40" s="4"/>
      <c r="R40" s="4"/>
      <c r="S40" s="4"/>
      <c r="T40" s="4"/>
      <c r="U40" s="4"/>
      <c r="V40" s="4"/>
      <c r="W40" s="4"/>
      <c r="X40" s="90"/>
    </row>
    <row r="41" spans="3:32">
      <c r="C41" s="79"/>
      <c r="D41" s="4"/>
      <c r="E41" s="4"/>
      <c r="F41" s="5"/>
      <c r="G41" s="4"/>
      <c r="H41" s="5"/>
      <c r="I41" s="5"/>
      <c r="J41" s="5"/>
      <c r="K41" s="4"/>
      <c r="L41" s="5"/>
      <c r="M41" s="5"/>
      <c r="N41" s="4"/>
      <c r="O41" s="4"/>
      <c r="P41" s="4"/>
      <c r="Q41" s="4"/>
      <c r="R41" s="4"/>
      <c r="S41" s="4"/>
      <c r="T41" s="4"/>
      <c r="U41" s="4"/>
      <c r="V41" s="4"/>
      <c r="W41" s="4"/>
      <c r="X41" s="90"/>
    </row>
    <row r="42" spans="3:32">
      <c r="C42" s="76"/>
      <c r="D42" s="9" t="s">
        <v>31</v>
      </c>
      <c r="E42" s="4"/>
      <c r="F42" s="5"/>
      <c r="G42" s="4"/>
      <c r="H42" s="12">
        <f>H27+H40</f>
        <v>2301242.59</v>
      </c>
      <c r="I42" s="5"/>
      <c r="J42" s="5"/>
      <c r="K42" s="4"/>
      <c r="L42" s="12">
        <f>L27+L40</f>
        <v>2432192.0699999998</v>
      </c>
      <c r="M42" s="5"/>
      <c r="N42" s="4"/>
      <c r="O42" s="4"/>
      <c r="P42" s="4"/>
      <c r="Q42" s="4"/>
      <c r="R42" s="4"/>
      <c r="S42" s="4"/>
      <c r="T42" s="4"/>
      <c r="U42" s="4"/>
      <c r="V42" s="4"/>
      <c r="W42" s="4"/>
      <c r="X42" s="90"/>
    </row>
    <row r="43" spans="3:32">
      <c r="C43" s="80"/>
      <c r="D43" s="9"/>
      <c r="E43" s="9"/>
      <c r="F43" s="15"/>
      <c r="G43" s="9"/>
      <c r="H43" s="5"/>
      <c r="I43" s="5"/>
      <c r="J43" s="15"/>
      <c r="K43" s="9"/>
      <c r="L43" s="5"/>
      <c r="M43" s="5"/>
      <c r="N43" s="9"/>
      <c r="O43" s="4"/>
      <c r="P43" s="4"/>
      <c r="Q43" s="4"/>
      <c r="R43" s="4"/>
      <c r="S43" s="5"/>
      <c r="T43" s="5"/>
      <c r="U43" s="4"/>
      <c r="V43" s="4"/>
      <c r="W43" s="5"/>
      <c r="X43" s="90"/>
    </row>
    <row r="44" spans="3:32">
      <c r="C44" s="80"/>
      <c r="D44" s="9" t="s">
        <v>32</v>
      </c>
      <c r="E44" s="9"/>
      <c r="F44" s="15"/>
      <c r="G44" s="9"/>
      <c r="H44" s="5"/>
      <c r="I44" s="5"/>
      <c r="J44" s="15"/>
      <c r="K44" s="9"/>
      <c r="L44" s="5"/>
      <c r="M44" s="5"/>
      <c r="N44" s="9"/>
      <c r="O44" s="4"/>
      <c r="P44" s="4"/>
      <c r="Q44" s="4"/>
      <c r="R44" s="4"/>
      <c r="S44" s="5"/>
      <c r="T44" s="5"/>
      <c r="U44" s="4"/>
      <c r="V44" s="4"/>
      <c r="W44" s="5"/>
      <c r="X44" s="90"/>
    </row>
    <row r="45" spans="3:32">
      <c r="C45" s="76">
        <v>78</v>
      </c>
      <c r="D45" s="4" t="s">
        <v>33</v>
      </c>
      <c r="E45" s="9"/>
      <c r="F45" s="15"/>
      <c r="G45" s="9"/>
      <c r="H45" s="12">
        <v>0</v>
      </c>
      <c r="I45" s="5"/>
      <c r="J45" s="15"/>
      <c r="K45" s="9"/>
      <c r="L45" s="12">
        <v>0</v>
      </c>
      <c r="M45" s="5"/>
      <c r="N45" s="9"/>
      <c r="O45" s="4"/>
      <c r="P45" s="4"/>
      <c r="Q45" s="4"/>
      <c r="R45" s="4"/>
      <c r="S45" s="5"/>
      <c r="T45" s="5"/>
      <c r="U45" s="4"/>
      <c r="V45" s="4"/>
      <c r="W45" s="5"/>
      <c r="X45" s="90"/>
      <c r="AF45" s="13">
        <f>H40-2200811.63</f>
        <v>-134972.33000000007</v>
      </c>
    </row>
    <row r="46" spans="3:32">
      <c r="C46" s="80"/>
      <c r="D46" s="9"/>
      <c r="E46" s="9"/>
      <c r="F46" s="15"/>
      <c r="G46" s="9"/>
      <c r="H46" s="5"/>
      <c r="I46" s="5"/>
      <c r="J46" s="15"/>
      <c r="K46" s="9"/>
      <c r="L46" s="5"/>
      <c r="M46" s="5"/>
      <c r="N46" s="9"/>
      <c r="O46" s="4"/>
      <c r="P46" s="4"/>
      <c r="Q46" s="4"/>
      <c r="R46" s="4"/>
      <c r="S46" s="5"/>
      <c r="T46" s="5"/>
      <c r="U46" s="4"/>
      <c r="V46" s="4"/>
      <c r="W46" s="5"/>
      <c r="X46" s="90"/>
    </row>
    <row r="47" spans="3:32">
      <c r="C47" s="80"/>
      <c r="D47" s="9" t="s">
        <v>34</v>
      </c>
      <c r="E47" s="9"/>
      <c r="F47" s="15"/>
      <c r="G47" s="9"/>
      <c r="H47" s="16">
        <f>H42-H45</f>
        <v>2301242.59</v>
      </c>
      <c r="I47" s="5"/>
      <c r="J47" s="5"/>
      <c r="K47" s="5"/>
      <c r="L47" s="16">
        <f>+L42-L45</f>
        <v>2432192.0699999998</v>
      </c>
      <c r="M47" s="5"/>
      <c r="N47" s="9"/>
      <c r="O47" s="9" t="s">
        <v>35</v>
      </c>
      <c r="P47" s="4"/>
      <c r="Q47" s="4"/>
      <c r="R47" s="4"/>
      <c r="S47" s="16">
        <f>S13+S18</f>
        <v>2017488.1199999996</v>
      </c>
      <c r="T47" s="5"/>
      <c r="U47" s="4"/>
      <c r="V47" s="4"/>
      <c r="W47" s="16">
        <f>W13+W18</f>
        <v>2143818.7399999998</v>
      </c>
      <c r="X47" s="90"/>
    </row>
    <row r="48" spans="3:32">
      <c r="C48" s="80"/>
      <c r="D48" s="9"/>
      <c r="E48" s="9"/>
      <c r="F48" s="15"/>
      <c r="G48" s="9"/>
      <c r="H48" s="5"/>
      <c r="I48" s="5"/>
      <c r="J48" s="5"/>
      <c r="K48" s="5"/>
      <c r="L48" s="5"/>
      <c r="M48" s="5"/>
      <c r="N48" s="9"/>
      <c r="O48" s="4"/>
      <c r="P48" s="4"/>
      <c r="Q48" s="4"/>
      <c r="R48" s="4"/>
      <c r="S48" s="5"/>
      <c r="T48" s="5"/>
      <c r="U48" s="4"/>
      <c r="V48" s="4"/>
      <c r="W48" s="5"/>
      <c r="X48" s="90"/>
    </row>
    <row r="49" spans="3:25" ht="13.35" customHeight="1">
      <c r="C49" s="76">
        <v>80</v>
      </c>
      <c r="D49" s="278" t="s">
        <v>176</v>
      </c>
      <c r="E49" s="278"/>
      <c r="F49" s="278"/>
      <c r="G49" s="9"/>
      <c r="H49" s="4"/>
      <c r="I49" s="5"/>
      <c r="J49" s="5"/>
      <c r="K49" s="5"/>
      <c r="L49" s="4"/>
      <c r="M49" s="5"/>
      <c r="N49" s="9"/>
      <c r="O49" s="4"/>
      <c r="P49" s="4"/>
      <c r="Q49" s="4"/>
      <c r="R49" s="4"/>
      <c r="S49" s="4"/>
      <c r="T49" s="5"/>
      <c r="U49" s="4"/>
      <c r="V49" s="4"/>
      <c r="W49" s="4"/>
      <c r="X49" s="90"/>
    </row>
    <row r="50" spans="3:25">
      <c r="C50" s="76"/>
      <c r="D50" s="278"/>
      <c r="E50" s="278"/>
      <c r="F50" s="278"/>
      <c r="G50" s="9"/>
      <c r="H50" s="17">
        <f>IF(H47-S47&lt;0,S47-H47,0)</f>
        <v>0</v>
      </c>
      <c r="I50" s="5"/>
      <c r="J50" s="5"/>
      <c r="K50" s="5"/>
      <c r="L50" s="17">
        <v>0</v>
      </c>
      <c r="M50" s="5"/>
      <c r="N50" s="9"/>
      <c r="O50" s="4"/>
      <c r="P50" s="4"/>
      <c r="Q50" s="4"/>
      <c r="R50" s="4"/>
      <c r="S50" s="70">
        <f>IF(H47-S47&lt;0,0,H47-S47)</f>
        <v>283754.4700000002</v>
      </c>
      <c r="T50" s="5"/>
      <c r="U50" s="4"/>
      <c r="V50" s="4"/>
      <c r="W50" s="18">
        <f>+L47-W47</f>
        <v>288373.33000000007</v>
      </c>
      <c r="X50" s="90"/>
    </row>
    <row r="51" spans="3:25">
      <c r="C51" s="76"/>
      <c r="D51" s="14"/>
      <c r="E51" s="14"/>
      <c r="F51" s="14"/>
      <c r="G51" s="9"/>
      <c r="H51" s="19"/>
      <c r="I51" s="5"/>
      <c r="J51" s="5"/>
      <c r="K51" s="5"/>
      <c r="L51" s="19"/>
      <c r="M51" s="5"/>
      <c r="N51" s="9"/>
      <c r="O51" s="4"/>
      <c r="P51" s="4"/>
      <c r="Q51" s="4"/>
      <c r="R51" s="4"/>
      <c r="S51" s="5"/>
      <c r="T51" s="5"/>
      <c r="U51" s="4"/>
      <c r="V51" s="4"/>
      <c r="W51" s="5"/>
      <c r="X51" s="90"/>
    </row>
    <row r="52" spans="3:25">
      <c r="C52" s="80"/>
      <c r="D52" s="9"/>
      <c r="E52" s="4"/>
      <c r="F52" s="5"/>
      <c r="G52" s="4"/>
      <c r="H52" s="20">
        <f>H47+H50</f>
        <v>2301242.59</v>
      </c>
      <c r="I52" s="15"/>
      <c r="J52" s="4"/>
      <c r="K52" s="4"/>
      <c r="L52" s="20">
        <f>L47+L50</f>
        <v>2432192.0699999998</v>
      </c>
      <c r="M52" s="4"/>
      <c r="N52" s="4"/>
      <c r="O52" s="9"/>
      <c r="P52" s="9"/>
      <c r="Q52" s="4"/>
      <c r="R52" s="4"/>
      <c r="S52" s="20">
        <f>S47+S50</f>
        <v>2301242.59</v>
      </c>
      <c r="T52" s="15"/>
      <c r="U52" s="4"/>
      <c r="V52" s="4"/>
      <c r="W52" s="20">
        <f>W47+W50</f>
        <v>2432192.0699999998</v>
      </c>
      <c r="X52" s="90"/>
      <c r="Y52" s="13">
        <f>S52-H52</f>
        <v>0</v>
      </c>
    </row>
    <row r="53" spans="3:25" ht="26.25" customHeight="1">
      <c r="C53" s="81"/>
      <c r="D53" s="21"/>
      <c r="E53" s="22"/>
      <c r="F53" s="12"/>
      <c r="G53" s="22"/>
      <c r="H53" s="18"/>
      <c r="I53" s="18"/>
      <c r="J53" s="18"/>
      <c r="K53" s="18"/>
      <c r="L53" s="18"/>
      <c r="M53" s="18"/>
      <c r="N53" s="22"/>
      <c r="O53" s="21"/>
      <c r="P53" s="21"/>
      <c r="Q53" s="22"/>
      <c r="R53" s="22"/>
      <c r="S53" s="22"/>
      <c r="T53" s="22"/>
      <c r="U53" s="22"/>
      <c r="V53" s="22"/>
      <c r="W53" s="12"/>
      <c r="X53" s="90"/>
    </row>
    <row r="54" spans="3:25" ht="26.25" customHeight="1">
      <c r="C54" s="82"/>
      <c r="D54" s="23"/>
      <c r="E54" s="24"/>
      <c r="F54" s="25"/>
      <c r="G54" s="24"/>
      <c r="H54" s="26"/>
      <c r="I54" s="26"/>
      <c r="J54" s="26"/>
      <c r="K54" s="26"/>
      <c r="L54" s="26"/>
      <c r="M54" s="26"/>
      <c r="N54" s="24"/>
      <c r="O54" s="23"/>
      <c r="P54" s="23"/>
      <c r="Q54" s="24"/>
      <c r="R54" s="24"/>
      <c r="S54" s="24"/>
      <c r="T54" s="24"/>
      <c r="U54" s="24"/>
      <c r="V54" s="24"/>
      <c r="W54" s="25"/>
      <c r="X54" s="90"/>
    </row>
    <row r="55" spans="3:25">
      <c r="C55" s="280" t="s">
        <v>242</v>
      </c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2"/>
      <c r="X55" s="90"/>
    </row>
    <row r="56" spans="3:25">
      <c r="C56" s="83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90"/>
    </row>
    <row r="57" spans="3:25">
      <c r="C57" s="76"/>
      <c r="D57" s="4"/>
      <c r="E57" s="4"/>
      <c r="F57" s="5"/>
      <c r="G57" s="4"/>
      <c r="H57" s="4"/>
      <c r="I57" s="4"/>
      <c r="J57" s="4"/>
      <c r="K57" s="4"/>
      <c r="L57" s="4"/>
      <c r="M57" s="4"/>
      <c r="N57" s="4"/>
      <c r="O57" s="27"/>
      <c r="P57" s="9"/>
      <c r="Q57" s="4"/>
      <c r="R57" s="4"/>
      <c r="S57" s="15"/>
      <c r="T57" s="15"/>
      <c r="U57" s="4"/>
      <c r="V57" s="4"/>
      <c r="W57" s="15"/>
      <c r="X57" s="90"/>
    </row>
    <row r="58" spans="3:25">
      <c r="C58" s="76"/>
      <c r="D58" s="4"/>
      <c r="E58" s="4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5"/>
      <c r="U58" s="4"/>
      <c r="V58" s="4"/>
      <c r="W58" s="15"/>
      <c r="X58" s="90"/>
    </row>
    <row r="59" spans="3:25">
      <c r="C59" s="76"/>
      <c r="D59" s="4"/>
      <c r="E59" s="111" t="s">
        <v>167</v>
      </c>
      <c r="F59" s="30"/>
      <c r="G59" s="111"/>
      <c r="H59" s="111" t="s">
        <v>179</v>
      </c>
      <c r="I59" s="112"/>
      <c r="J59" s="112"/>
      <c r="K59" s="112"/>
      <c r="L59" s="112"/>
      <c r="M59" s="111"/>
      <c r="N59" s="30" t="s">
        <v>168</v>
      </c>
      <c r="O59" s="113"/>
      <c r="P59" s="111"/>
      <c r="Q59" s="113"/>
      <c r="R59" s="4"/>
      <c r="S59" s="27" t="s">
        <v>191</v>
      </c>
      <c r="T59" s="4"/>
      <c r="U59" s="29"/>
      <c r="V59" s="29"/>
      <c r="W59" s="5"/>
      <c r="X59" s="90"/>
    </row>
    <row r="60" spans="3:25">
      <c r="C60" s="76"/>
      <c r="D60" s="4"/>
      <c r="E60" s="111"/>
      <c r="F60" s="30"/>
      <c r="G60" s="111"/>
      <c r="H60" s="113"/>
      <c r="I60" s="113"/>
      <c r="J60" s="113"/>
      <c r="K60" s="113"/>
      <c r="L60" s="113"/>
      <c r="M60" s="111"/>
      <c r="N60" s="111"/>
      <c r="O60" s="113"/>
      <c r="P60" s="111"/>
      <c r="Q60" s="113"/>
      <c r="R60" s="4"/>
      <c r="S60" s="28" t="s">
        <v>229</v>
      </c>
      <c r="T60" s="27"/>
      <c r="U60" s="29"/>
      <c r="V60" s="29"/>
      <c r="W60" s="5"/>
      <c r="X60" s="90"/>
    </row>
    <row r="61" spans="3:25">
      <c r="C61" s="76"/>
      <c r="D61" s="4"/>
      <c r="E61" s="111"/>
      <c r="F61" s="30"/>
      <c r="G61" s="111"/>
      <c r="H61" s="113"/>
      <c r="I61" s="113"/>
      <c r="J61" s="113"/>
      <c r="K61" s="113"/>
      <c r="L61" s="113"/>
      <c r="M61" s="111"/>
      <c r="N61" s="111"/>
      <c r="O61" s="113"/>
      <c r="P61" s="111"/>
      <c r="Q61" s="113"/>
      <c r="R61" s="4"/>
      <c r="S61" s="4"/>
      <c r="T61" s="27"/>
      <c r="U61" s="29"/>
      <c r="V61" s="29"/>
      <c r="W61" s="5"/>
      <c r="X61" s="90"/>
    </row>
    <row r="62" spans="3:25">
      <c r="C62" s="76"/>
      <c r="D62" s="4"/>
      <c r="E62" s="111"/>
      <c r="F62" s="30"/>
      <c r="G62" s="111"/>
      <c r="H62" s="40"/>
      <c r="I62" s="113"/>
      <c r="J62" s="113"/>
      <c r="K62" s="113"/>
      <c r="L62" s="113"/>
      <c r="M62" s="111"/>
      <c r="N62" s="111"/>
      <c r="O62" s="113"/>
      <c r="P62" s="111"/>
      <c r="Q62" s="113"/>
      <c r="R62" s="4"/>
      <c r="S62" s="4"/>
      <c r="T62" s="27"/>
      <c r="U62" s="29"/>
      <c r="V62" s="29"/>
      <c r="W62" s="5"/>
      <c r="X62" s="90"/>
    </row>
    <row r="63" spans="3:25">
      <c r="C63" s="80"/>
      <c r="D63" s="9"/>
      <c r="E63" s="111" t="s">
        <v>235</v>
      </c>
      <c r="F63" s="30"/>
      <c r="G63" s="111"/>
      <c r="H63" s="111" t="s">
        <v>180</v>
      </c>
      <c r="I63" s="113"/>
      <c r="J63" s="111"/>
      <c r="K63" s="111"/>
      <c r="L63" s="111"/>
      <c r="M63" s="114"/>
      <c r="N63" s="111" t="s">
        <v>182</v>
      </c>
      <c r="O63" s="113"/>
      <c r="P63" s="113"/>
      <c r="Q63" s="112" t="s">
        <v>184</v>
      </c>
      <c r="R63" s="9"/>
      <c r="S63" s="30"/>
      <c r="T63" s="19"/>
      <c r="U63" s="272" t="s">
        <v>187</v>
      </c>
      <c r="V63" s="272"/>
      <c r="W63" s="272"/>
      <c r="X63" s="90"/>
    </row>
    <row r="64" spans="3:25">
      <c r="C64" s="76"/>
      <c r="D64" s="4"/>
      <c r="E64" s="111" t="s">
        <v>236</v>
      </c>
      <c r="F64" s="30"/>
      <c r="G64" s="111"/>
      <c r="H64" s="112" t="s">
        <v>181</v>
      </c>
      <c r="I64" s="113"/>
      <c r="J64" s="112"/>
      <c r="K64" s="112"/>
      <c r="L64" s="112"/>
      <c r="M64" s="113"/>
      <c r="N64" s="111" t="s">
        <v>183</v>
      </c>
      <c r="O64" s="111"/>
      <c r="P64" s="113"/>
      <c r="Q64" s="112" t="s">
        <v>186</v>
      </c>
      <c r="R64" s="9"/>
      <c r="S64" s="30"/>
      <c r="T64" s="19"/>
      <c r="U64" s="272" t="s">
        <v>188</v>
      </c>
      <c r="V64" s="272"/>
      <c r="W64" s="272"/>
      <c r="X64" s="90"/>
    </row>
    <row r="65" spans="3:24">
      <c r="C65" s="76"/>
      <c r="D65" s="4"/>
      <c r="E65" s="113"/>
      <c r="F65" s="30"/>
      <c r="G65" s="111"/>
      <c r="H65" s="113"/>
      <c r="I65" s="113"/>
      <c r="J65" s="111"/>
      <c r="K65" s="111"/>
      <c r="L65" s="111"/>
      <c r="M65" s="113"/>
      <c r="N65" s="113"/>
      <c r="O65" s="111"/>
      <c r="P65" s="113"/>
      <c r="Q65" s="112" t="s">
        <v>185</v>
      </c>
      <c r="R65" s="9"/>
      <c r="S65" s="9"/>
      <c r="T65" s="30"/>
      <c r="U65" s="273" t="s">
        <v>189</v>
      </c>
      <c r="V65" s="273"/>
      <c r="W65" s="273"/>
      <c r="X65" s="90"/>
    </row>
    <row r="66" spans="3:24">
      <c r="C66" s="84"/>
      <c r="D66" s="85"/>
      <c r="E66" s="85"/>
      <c r="F66" s="66"/>
      <c r="G66" s="85"/>
      <c r="H66" s="85"/>
      <c r="I66" s="85"/>
      <c r="J66" s="85"/>
      <c r="K66" s="85"/>
      <c r="L66" s="85"/>
      <c r="M66" s="86"/>
      <c r="N66" s="85"/>
      <c r="O66" s="86"/>
      <c r="P66" s="86"/>
      <c r="Q66" s="86"/>
      <c r="R66" s="86"/>
      <c r="S66" s="87"/>
      <c r="T66" s="87"/>
      <c r="U66" s="87"/>
      <c r="V66" s="85"/>
      <c r="W66" s="92"/>
      <c r="X66" s="91"/>
    </row>
    <row r="67" spans="3:24">
      <c r="D67" s="31"/>
      <c r="E67" s="31"/>
      <c r="F67" s="32"/>
      <c r="G67" s="31"/>
      <c r="M67" s="31"/>
      <c r="O67" s="31"/>
      <c r="P67" s="31"/>
      <c r="Q67" s="33"/>
      <c r="R67" s="33"/>
    </row>
    <row r="68" spans="3:24">
      <c r="D68" s="31"/>
      <c r="E68" s="31"/>
      <c r="F68" s="32"/>
      <c r="G68" s="31"/>
      <c r="H68" s="2"/>
      <c r="P68" s="33"/>
      <c r="Q68" s="33"/>
      <c r="R68" s="33"/>
      <c r="S68" s="34"/>
    </row>
    <row r="69" spans="3:24">
      <c r="O69" s="33"/>
      <c r="P69" s="33"/>
    </row>
    <row r="74" spans="3:24">
      <c r="L74" s="2">
        <f>S50+Ισολογισμός!I83</f>
        <v>0</v>
      </c>
    </row>
  </sheetData>
  <mergeCells count="16">
    <mergeCell ref="U63:W63"/>
    <mergeCell ref="U64:W64"/>
    <mergeCell ref="U65:W65"/>
    <mergeCell ref="C2:W2"/>
    <mergeCell ref="C3:W3"/>
    <mergeCell ref="C4:W4"/>
    <mergeCell ref="C5:W5"/>
    <mergeCell ref="D20:F20"/>
    <mergeCell ref="D21:E21"/>
    <mergeCell ref="D49:F50"/>
    <mergeCell ref="C55:W55"/>
    <mergeCell ref="C7:W7"/>
    <mergeCell ref="F9:H9"/>
    <mergeCell ref="J9:L9"/>
    <mergeCell ref="Q9:S9"/>
    <mergeCell ref="U9:W9"/>
  </mergeCells>
  <phoneticPr fontId="10" type="noConversion"/>
  <printOptions horizontalCentered="1"/>
  <pageMargins left="0.31527777777777777" right="0.19652777777777777" top="0.4201388888888889" bottom="0.1701388888888889" header="0.35" footer="0.1701388888888889"/>
  <pageSetup paperSize="9" scale="54" firstPageNumber="0" orientation="landscape" r:id="rId1"/>
  <headerFooter alignWithMargins="0">
    <oddFooter>&amp;C`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16"/>
  <sheetViews>
    <sheetView zoomScale="60" zoomScaleNormal="60" workbookViewId="0">
      <pane ySplit="4" topLeftCell="A5" activePane="bottomLeft" state="frozen"/>
      <selection pane="bottomLeft" activeCell="D5" sqref="D5"/>
    </sheetView>
  </sheetViews>
  <sheetFormatPr defaultRowHeight="18"/>
  <cols>
    <col min="1" max="1" width="8.140625" style="122" customWidth="1"/>
    <col min="2" max="2" width="16.28515625" style="123" customWidth="1"/>
    <col min="3" max="3" width="0" style="123" hidden="1" customWidth="1"/>
    <col min="4" max="4" width="25.85546875" style="122" customWidth="1"/>
    <col min="5" max="5" width="18.28515625" style="122" bestFit="1" customWidth="1"/>
    <col min="6" max="6" width="15.85546875" style="122" bestFit="1" customWidth="1"/>
    <col min="7" max="7" width="12.7109375" style="122" bestFit="1" customWidth="1"/>
    <col min="8" max="8" width="16" style="122" bestFit="1" customWidth="1"/>
    <col min="9" max="9" width="20" style="122" bestFit="1" customWidth="1"/>
    <col min="10" max="10" width="18.28515625" style="122" bestFit="1" customWidth="1"/>
    <col min="11" max="11" width="16.7109375" style="122" bestFit="1" customWidth="1"/>
    <col min="12" max="12" width="23.7109375" style="122" customWidth="1"/>
    <col min="13" max="16384" width="9.140625" style="122"/>
  </cols>
  <sheetData>
    <row r="2" spans="2:12" ht="35.25" customHeight="1">
      <c r="B2" s="294" t="s">
        <v>209</v>
      </c>
      <c r="C2" s="295"/>
      <c r="D2" s="295"/>
      <c r="E2" s="295"/>
      <c r="F2" s="295"/>
      <c r="G2" s="295"/>
      <c r="H2" s="295"/>
      <c r="I2" s="295"/>
      <c r="J2" s="295"/>
      <c r="K2" s="148"/>
    </row>
    <row r="3" spans="2:12" ht="54" customHeight="1">
      <c r="B3" s="290" t="s">
        <v>208</v>
      </c>
      <c r="C3" s="290"/>
      <c r="D3" s="292" t="s">
        <v>207</v>
      </c>
      <c r="E3" s="290" t="s">
        <v>206</v>
      </c>
      <c r="F3" s="290" t="s">
        <v>205</v>
      </c>
      <c r="G3" s="290" t="s">
        <v>204</v>
      </c>
      <c r="H3" s="292" t="s">
        <v>203</v>
      </c>
      <c r="I3" s="292" t="s">
        <v>202</v>
      </c>
      <c r="J3" s="290" t="s">
        <v>197</v>
      </c>
      <c r="K3" s="288" t="s">
        <v>201</v>
      </c>
    </row>
    <row r="4" spans="2:12">
      <c r="B4" s="291"/>
      <c r="C4" s="291"/>
      <c r="D4" s="293"/>
      <c r="E4" s="291"/>
      <c r="F4" s="291"/>
      <c r="G4" s="291"/>
      <c r="H4" s="293"/>
      <c r="I4" s="293"/>
      <c r="J4" s="291"/>
      <c r="K4" s="289"/>
    </row>
    <row r="5" spans="2:12" ht="27.75" customHeight="1">
      <c r="B5" s="143">
        <v>60</v>
      </c>
      <c r="C5" s="142"/>
      <c r="D5" s="147">
        <v>1422365.28</v>
      </c>
      <c r="E5" s="146">
        <f>D5-F5</f>
        <v>1187502.22</v>
      </c>
      <c r="F5" s="146">
        <f>82788.26+117179.86+28952.54+5942.4</f>
        <v>234863.06</v>
      </c>
      <c r="G5" s="146"/>
      <c r="H5" s="146"/>
      <c r="I5" s="146"/>
      <c r="J5" s="145">
        <f t="shared" ref="J5:J13" si="0">SUM(E5:I5)</f>
        <v>1422365.28</v>
      </c>
      <c r="K5" s="129"/>
      <c r="L5" s="124">
        <f t="shared" ref="L5:L13" si="1">D5-J5</f>
        <v>0</v>
      </c>
    </row>
    <row r="6" spans="2:12" ht="27.75" customHeight="1">
      <c r="B6" s="143">
        <v>61</v>
      </c>
      <c r="C6" s="142"/>
      <c r="D6" s="144">
        <v>182801.13</v>
      </c>
      <c r="E6" s="140">
        <f>D6-F6</f>
        <v>125345.38</v>
      </c>
      <c r="F6" s="140">
        <f>10100.96+44841+1223+326.13+964.66</f>
        <v>57455.75</v>
      </c>
      <c r="G6" s="140"/>
      <c r="H6" s="140"/>
      <c r="I6" s="140"/>
      <c r="J6" s="130">
        <f t="shared" si="0"/>
        <v>182801.13</v>
      </c>
      <c r="K6" s="129"/>
      <c r="L6" s="124">
        <f t="shared" si="1"/>
        <v>0</v>
      </c>
    </row>
    <row r="7" spans="2:12" ht="27.75" customHeight="1">
      <c r="B7" s="143">
        <v>62</v>
      </c>
      <c r="C7" s="142"/>
      <c r="D7" s="144">
        <v>196626.24</v>
      </c>
      <c r="E7" s="140">
        <f>D7-F7</f>
        <v>129723.60999999999</v>
      </c>
      <c r="F7" s="140">
        <f>4972.05+56571.36+2696.5+2179.27+483.45</f>
        <v>66902.63</v>
      </c>
      <c r="G7" s="140"/>
      <c r="H7" s="140"/>
      <c r="I7" s="140"/>
      <c r="J7" s="130">
        <f t="shared" si="0"/>
        <v>196626.24</v>
      </c>
      <c r="K7" s="129"/>
      <c r="L7" s="124">
        <f t="shared" si="1"/>
        <v>0</v>
      </c>
    </row>
    <row r="8" spans="2:12" ht="27.75" customHeight="1">
      <c r="B8" s="143">
        <v>63</v>
      </c>
      <c r="C8" s="142"/>
      <c r="D8" s="144">
        <v>40777.449999999997</v>
      </c>
      <c r="E8" s="140"/>
      <c r="F8" s="140">
        <f>40777.45</f>
        <v>40777.449999999997</v>
      </c>
      <c r="G8" s="140"/>
      <c r="H8" s="140"/>
      <c r="I8" s="140"/>
      <c r="J8" s="130">
        <f t="shared" si="0"/>
        <v>40777.449999999997</v>
      </c>
      <c r="K8" s="129"/>
      <c r="L8" s="124">
        <f t="shared" si="1"/>
        <v>0</v>
      </c>
    </row>
    <row r="9" spans="2:12" ht="27.75" customHeight="1">
      <c r="B9" s="143">
        <v>64</v>
      </c>
      <c r="C9" s="142"/>
      <c r="D9" s="144">
        <v>50509.3</v>
      </c>
      <c r="E9" s="140">
        <f>D9-F9</f>
        <v>39948.01</v>
      </c>
      <c r="F9" s="140">
        <f>677.82+7306.01+508.18+1481.51+135.51+452.26</f>
        <v>10561.29</v>
      </c>
      <c r="G9" s="140"/>
      <c r="H9" s="140"/>
      <c r="I9" s="140"/>
      <c r="J9" s="130">
        <f t="shared" si="0"/>
        <v>50509.3</v>
      </c>
      <c r="K9" s="129"/>
      <c r="L9" s="124">
        <f t="shared" si="1"/>
        <v>0</v>
      </c>
    </row>
    <row r="10" spans="2:12" ht="27.75" customHeight="1">
      <c r="B10" s="143">
        <v>65</v>
      </c>
      <c r="C10" s="142"/>
      <c r="D10" s="144">
        <v>14.83</v>
      </c>
      <c r="E10" s="140"/>
      <c r="F10" s="140"/>
      <c r="G10" s="140"/>
      <c r="H10" s="140"/>
      <c r="I10" s="140">
        <f>14.83</f>
        <v>14.83</v>
      </c>
      <c r="J10" s="130">
        <f t="shared" si="0"/>
        <v>14.83</v>
      </c>
      <c r="K10" s="129"/>
      <c r="L10" s="124">
        <f t="shared" si="1"/>
        <v>0</v>
      </c>
    </row>
    <row r="11" spans="2:12" ht="27.75" customHeight="1">
      <c r="B11" s="143">
        <v>66</v>
      </c>
      <c r="C11" s="142"/>
      <c r="D11" s="144">
        <v>245085.77</v>
      </c>
      <c r="E11" s="140">
        <f>D11-F11</f>
        <v>210436.34</v>
      </c>
      <c r="F11" s="140">
        <f>5645.16+23049.45+2649.14+706.43+2599.25</f>
        <v>34649.43</v>
      </c>
      <c r="G11" s="140"/>
      <c r="H11" s="140"/>
      <c r="I11" s="140"/>
      <c r="J11" s="130">
        <f t="shared" si="0"/>
        <v>245085.77</v>
      </c>
      <c r="K11" s="129"/>
      <c r="L11" s="124">
        <f t="shared" si="1"/>
        <v>0</v>
      </c>
    </row>
    <row r="12" spans="2:12" ht="27.75" customHeight="1">
      <c r="B12" s="143">
        <v>67</v>
      </c>
      <c r="C12" s="142"/>
      <c r="D12" s="144">
        <v>0</v>
      </c>
      <c r="E12" s="140"/>
      <c r="F12" s="140"/>
      <c r="G12" s="139"/>
      <c r="H12" s="139"/>
      <c r="I12" s="139"/>
      <c r="J12" s="130">
        <f t="shared" si="0"/>
        <v>0</v>
      </c>
      <c r="K12" s="129"/>
      <c r="L12" s="124">
        <f t="shared" si="1"/>
        <v>0</v>
      </c>
    </row>
    <row r="13" spans="2:12" ht="27.75" customHeight="1">
      <c r="B13" s="143">
        <v>68</v>
      </c>
      <c r="C13" s="142"/>
      <c r="D13" s="141">
        <v>0</v>
      </c>
      <c r="E13" s="140"/>
      <c r="F13" s="140"/>
      <c r="G13" s="139"/>
      <c r="H13" s="139"/>
      <c r="I13" s="139"/>
      <c r="J13" s="130">
        <f t="shared" si="0"/>
        <v>0</v>
      </c>
      <c r="K13" s="129"/>
      <c r="L13" s="124">
        <f t="shared" si="1"/>
        <v>0</v>
      </c>
    </row>
    <row r="14" spans="2:12" ht="36">
      <c r="B14" s="138" t="s">
        <v>200</v>
      </c>
      <c r="C14" s="138"/>
      <c r="D14" s="137">
        <f t="shared" ref="D14:J14" si="2">SUM(D5:D13)</f>
        <v>2138180</v>
      </c>
      <c r="E14" s="136">
        <f t="shared" si="2"/>
        <v>1692955.56</v>
      </c>
      <c r="F14" s="136">
        <f t="shared" si="2"/>
        <v>445209.61</v>
      </c>
      <c r="G14" s="136">
        <f t="shared" si="2"/>
        <v>0</v>
      </c>
      <c r="H14" s="136">
        <f t="shared" si="2"/>
        <v>0</v>
      </c>
      <c r="I14" s="136">
        <f t="shared" si="2"/>
        <v>14.83</v>
      </c>
      <c r="J14" s="135">
        <f t="shared" si="2"/>
        <v>2138180</v>
      </c>
      <c r="K14" s="134"/>
    </row>
    <row r="15" spans="2:12" ht="36">
      <c r="B15" s="133" t="s">
        <v>199</v>
      </c>
      <c r="C15" s="133"/>
      <c r="D15" s="132">
        <v>294012.07</v>
      </c>
      <c r="E15" s="131">
        <f>D15-F15</f>
        <v>290978.15000000002</v>
      </c>
      <c r="F15" s="131">
        <f>692.38+1284.5+276.44+249.45+453.37+77.78</f>
        <v>3033.92</v>
      </c>
      <c r="G15" s="131"/>
      <c r="H15" s="131"/>
      <c r="I15" s="131"/>
      <c r="J15" s="130">
        <f>SUM(E15:I15)</f>
        <v>294012.07</v>
      </c>
      <c r="K15" s="129"/>
    </row>
    <row r="16" spans="2:12" s="125" customFormat="1">
      <c r="B16" s="128" t="s">
        <v>198</v>
      </c>
      <c r="C16" s="128"/>
      <c r="D16" s="127">
        <f t="shared" ref="D16:I16" si="3">D14+D15</f>
        <v>2432192.0699999998</v>
      </c>
      <c r="E16" s="126">
        <f t="shared" si="3"/>
        <v>1983933.71</v>
      </c>
      <c r="F16" s="126">
        <f t="shared" si="3"/>
        <v>448243.52999999997</v>
      </c>
      <c r="G16" s="126">
        <f t="shared" si="3"/>
        <v>0</v>
      </c>
      <c r="H16" s="126">
        <f t="shared" si="3"/>
        <v>0</v>
      </c>
      <c r="I16" s="126">
        <f t="shared" si="3"/>
        <v>14.83</v>
      </c>
      <c r="J16" s="126">
        <f>SUM(E16:I16)</f>
        <v>2432192.0699999998</v>
      </c>
    </row>
  </sheetData>
  <mergeCells count="10">
    <mergeCell ref="K3:K4"/>
    <mergeCell ref="B3:C4"/>
    <mergeCell ref="D3:D4"/>
    <mergeCell ref="E3:E4"/>
    <mergeCell ref="B2:J2"/>
    <mergeCell ref="F3:F4"/>
    <mergeCell ref="G3:G4"/>
    <mergeCell ref="H3:H4"/>
    <mergeCell ref="I3:I4"/>
    <mergeCell ref="J3:J4"/>
  </mergeCells>
  <pageMargins left="0.39370078740157483" right="0.39370078740157483" top="0.98425196850393704" bottom="0.98425196850393704" header="0.51181102362204722" footer="0.51181102362204722"/>
  <pageSetup paperSize="9" scale="67" firstPageNumber="0" orientation="portrait" horizontalDpi="300" verticalDpi="300" r:id="rId1"/>
  <headerFooter alignWithMargins="0">
    <oddHeader>&amp;C&amp;F
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opLeftCell="D1" zoomScale="75" zoomScaleNormal="60" workbookViewId="0">
      <pane xSplit="2" ySplit="1" topLeftCell="F2" activePane="bottomRight" state="frozen"/>
      <selection activeCell="D1" sqref="D1"/>
      <selection pane="topRight" activeCell="F1" sqref="F1"/>
      <selection pane="bottomLeft" activeCell="D2" sqref="D2"/>
      <selection pane="bottomRight" activeCell="E3" sqref="E3:P23"/>
    </sheetView>
  </sheetViews>
  <sheetFormatPr defaultRowHeight="18"/>
  <cols>
    <col min="1" max="2" width="0" style="149" hidden="1" customWidth="1"/>
    <col min="3" max="3" width="4" style="149" customWidth="1"/>
    <col min="4" max="4" width="4.85546875" style="149" customWidth="1"/>
    <col min="5" max="5" width="3.28515625" style="149" customWidth="1"/>
    <col min="6" max="6" width="32.7109375" style="149" customWidth="1"/>
    <col min="7" max="7" width="17.7109375" style="150" customWidth="1"/>
    <col min="8" max="8" width="20" style="150" customWidth="1"/>
    <col min="9" max="9" width="18.7109375" style="150" customWidth="1"/>
    <col min="10" max="10" width="20.85546875" style="151" customWidth="1"/>
    <col min="11" max="11" width="18.7109375" style="151" customWidth="1"/>
    <col min="12" max="12" width="18.140625" style="151" customWidth="1"/>
    <col min="13" max="13" width="16" style="151" customWidth="1"/>
    <col min="14" max="14" width="0" style="151" hidden="1" customWidth="1"/>
    <col min="15" max="16" width="18.140625" style="149" customWidth="1"/>
    <col min="17" max="17" width="2.85546875" style="149" customWidth="1"/>
    <col min="18" max="16384" width="9.140625" style="149"/>
  </cols>
  <sheetData>
    <row r="1" spans="1:19" ht="16.5" customHeight="1"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9" ht="16.5" customHeight="1">
      <c r="J2" s="149"/>
      <c r="O2" s="151"/>
    </row>
    <row r="3" spans="1:19" ht="24" customHeight="1" thickBot="1">
      <c r="D3" s="151"/>
      <c r="E3" s="297" t="s">
        <v>228</v>
      </c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152"/>
    </row>
    <row r="4" spans="1:19" ht="98.25" customHeight="1">
      <c r="C4" s="153"/>
      <c r="D4" s="154"/>
      <c r="E4" s="155"/>
      <c r="F4" s="156"/>
      <c r="G4" s="157" t="s">
        <v>221</v>
      </c>
      <c r="H4" s="157" t="s">
        <v>210</v>
      </c>
      <c r="I4" s="157" t="s">
        <v>211</v>
      </c>
      <c r="J4" s="157" t="s">
        <v>222</v>
      </c>
      <c r="K4" s="157" t="s">
        <v>223</v>
      </c>
      <c r="L4" s="157" t="s">
        <v>224</v>
      </c>
      <c r="M4" s="157" t="s">
        <v>225</v>
      </c>
      <c r="N4" s="157" t="s">
        <v>212</v>
      </c>
      <c r="O4" s="157" t="s">
        <v>226</v>
      </c>
      <c r="P4" s="158" t="s">
        <v>227</v>
      </c>
      <c r="Q4" s="159"/>
      <c r="R4" s="160"/>
      <c r="S4" s="160"/>
    </row>
    <row r="5" spans="1:19" ht="16.5" customHeight="1">
      <c r="A5" s="161" t="s">
        <v>213</v>
      </c>
      <c r="C5" s="154"/>
      <c r="D5" s="154"/>
      <c r="E5" s="162" t="s">
        <v>39</v>
      </c>
      <c r="F5" s="162" t="s">
        <v>40</v>
      </c>
      <c r="G5" s="163"/>
      <c r="H5" s="164"/>
      <c r="I5" s="163"/>
      <c r="J5" s="165"/>
      <c r="K5" s="163"/>
      <c r="L5" s="163"/>
      <c r="M5" s="163"/>
      <c r="N5" s="163"/>
      <c r="O5" s="163"/>
      <c r="P5" s="165"/>
      <c r="Q5" s="159"/>
    </row>
    <row r="6" spans="1:19" ht="16.5" customHeight="1">
      <c r="C6" s="154"/>
      <c r="D6" s="154"/>
      <c r="E6" s="166"/>
      <c r="F6" s="167" t="s">
        <v>46</v>
      </c>
      <c r="G6" s="168">
        <f>+[1]Ισολογισμός!K9</f>
        <v>98186.55</v>
      </c>
      <c r="H6" s="169">
        <f>J6-G6+I6</f>
        <v>0</v>
      </c>
      <c r="I6" s="168">
        <v>0</v>
      </c>
      <c r="J6" s="168">
        <f>[1]Ισολογισμός!E9</f>
        <v>98186.55</v>
      </c>
      <c r="K6" s="168">
        <f>[1]Ισολογισμός!M9</f>
        <v>98186.55</v>
      </c>
      <c r="L6" s="168">
        <f>[1]Ισολογισμός!G9-[1]Ισολογισμός!M9</f>
        <v>0</v>
      </c>
      <c r="M6" s="168">
        <v>0</v>
      </c>
      <c r="N6" s="168">
        <v>0</v>
      </c>
      <c r="O6" s="168">
        <f>+[1]Ισολογισμός!G9</f>
        <v>98186.55</v>
      </c>
      <c r="P6" s="168">
        <f>J6-O6</f>
        <v>0</v>
      </c>
      <c r="Q6" s="159"/>
    </row>
    <row r="7" spans="1:19" ht="16.5" customHeight="1">
      <c r="C7" s="154"/>
      <c r="D7" s="154"/>
      <c r="E7" s="166"/>
      <c r="F7" s="167"/>
      <c r="G7" s="170">
        <f t="shared" ref="G7:P7" si="0">G6</f>
        <v>98186.55</v>
      </c>
      <c r="H7" s="170">
        <f>H6</f>
        <v>0</v>
      </c>
      <c r="I7" s="170">
        <f t="shared" si="0"/>
        <v>0</v>
      </c>
      <c r="J7" s="170">
        <f t="shared" si="0"/>
        <v>98186.55</v>
      </c>
      <c r="K7" s="170">
        <f t="shared" si="0"/>
        <v>98186.55</v>
      </c>
      <c r="L7" s="170">
        <f>L6</f>
        <v>0</v>
      </c>
      <c r="M7" s="170">
        <f>M6</f>
        <v>0</v>
      </c>
      <c r="N7" s="170">
        <f t="shared" si="0"/>
        <v>0</v>
      </c>
      <c r="O7" s="170">
        <f t="shared" si="0"/>
        <v>98186.55</v>
      </c>
      <c r="P7" s="170">
        <f t="shared" si="0"/>
        <v>0</v>
      </c>
      <c r="Q7" s="159"/>
    </row>
    <row r="8" spans="1:19" ht="16.5" customHeight="1">
      <c r="C8" s="154"/>
      <c r="D8" s="154"/>
      <c r="E8" s="166"/>
      <c r="F8" s="167"/>
      <c r="G8" s="171"/>
      <c r="H8" s="171"/>
      <c r="I8" s="171"/>
      <c r="J8" s="171"/>
      <c r="K8" s="168"/>
      <c r="L8" s="168"/>
      <c r="M8" s="168"/>
      <c r="N8" s="172"/>
      <c r="O8" s="168"/>
      <c r="P8" s="172"/>
      <c r="Q8" s="159"/>
    </row>
    <row r="9" spans="1:19" ht="16.5" customHeight="1">
      <c r="A9" s="161">
        <v>11</v>
      </c>
      <c r="C9" s="154"/>
      <c r="D9" s="154"/>
      <c r="E9" s="162" t="s">
        <v>49</v>
      </c>
      <c r="F9" s="173" t="s">
        <v>50</v>
      </c>
      <c r="G9" s="171"/>
      <c r="H9" s="171"/>
      <c r="I9" s="171"/>
      <c r="J9" s="171"/>
      <c r="K9" s="168"/>
      <c r="L9" s="168"/>
      <c r="M9" s="168"/>
      <c r="N9" s="172"/>
      <c r="O9" s="168"/>
      <c r="P9" s="172"/>
      <c r="Q9" s="159"/>
    </row>
    <row r="10" spans="1:19" ht="12.75" hidden="1" customHeight="1">
      <c r="C10" s="154"/>
      <c r="D10" s="154"/>
      <c r="E10" s="162" t="s">
        <v>47</v>
      </c>
      <c r="F10" s="173" t="s">
        <v>214</v>
      </c>
      <c r="G10" s="171"/>
      <c r="H10" s="171"/>
      <c r="I10" s="171"/>
      <c r="J10" s="171"/>
      <c r="K10" s="168"/>
      <c r="L10" s="168"/>
      <c r="M10" s="168"/>
      <c r="N10" s="172"/>
      <c r="O10" s="168"/>
      <c r="P10" s="172"/>
      <c r="Q10" s="159"/>
    </row>
    <row r="11" spans="1:19" ht="12.75" hidden="1" customHeight="1">
      <c r="C11" s="154"/>
      <c r="D11" s="154"/>
      <c r="E11" s="162"/>
      <c r="F11" s="167" t="s">
        <v>215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/>
      <c r="O11" s="168">
        <v>0</v>
      </c>
      <c r="P11" s="172"/>
      <c r="Q11" s="159"/>
    </row>
    <row r="12" spans="1:19" ht="12.75" hidden="1" customHeight="1">
      <c r="A12" s="161">
        <v>12</v>
      </c>
      <c r="C12" s="154"/>
      <c r="D12" s="154"/>
      <c r="E12" s="166"/>
      <c r="F12" s="167"/>
      <c r="G12" s="171">
        <f t="shared" ref="G12:M12" si="1">G11</f>
        <v>0</v>
      </c>
      <c r="H12" s="171">
        <f t="shared" si="1"/>
        <v>0</v>
      </c>
      <c r="I12" s="171">
        <f t="shared" si="1"/>
        <v>0</v>
      </c>
      <c r="J12" s="171">
        <f t="shared" si="1"/>
        <v>0</v>
      </c>
      <c r="K12" s="171">
        <f t="shared" si="1"/>
        <v>0</v>
      </c>
      <c r="L12" s="171">
        <f t="shared" si="1"/>
        <v>0</v>
      </c>
      <c r="M12" s="171">
        <f t="shared" si="1"/>
        <v>0</v>
      </c>
      <c r="N12" s="171"/>
      <c r="O12" s="171">
        <f>O11</f>
        <v>0</v>
      </c>
      <c r="P12" s="172"/>
      <c r="Q12" s="159"/>
    </row>
    <row r="13" spans="1:19" ht="12.75" hidden="1" customHeight="1">
      <c r="A13" s="161">
        <v>13</v>
      </c>
      <c r="C13" s="154"/>
      <c r="D13" s="154"/>
      <c r="E13" s="162"/>
      <c r="F13" s="173"/>
      <c r="G13" s="168"/>
      <c r="H13" s="168"/>
      <c r="I13" s="168"/>
      <c r="J13" s="168"/>
      <c r="K13" s="168"/>
      <c r="L13" s="168"/>
      <c r="M13" s="168"/>
      <c r="N13" s="172"/>
      <c r="O13" s="168"/>
      <c r="P13" s="172"/>
      <c r="Q13" s="159"/>
    </row>
    <row r="14" spans="1:19" ht="16.5" customHeight="1">
      <c r="A14" s="161">
        <v>14</v>
      </c>
      <c r="C14" s="154"/>
      <c r="D14" s="154"/>
      <c r="E14" s="162" t="s">
        <v>51</v>
      </c>
      <c r="F14" s="173" t="s">
        <v>52</v>
      </c>
      <c r="G14" s="168"/>
      <c r="H14" s="168"/>
      <c r="I14" s="168"/>
      <c r="J14" s="168"/>
      <c r="K14" s="172"/>
      <c r="L14" s="172"/>
      <c r="M14" s="172"/>
      <c r="N14" s="172"/>
      <c r="O14" s="168"/>
      <c r="P14" s="172"/>
      <c r="Q14" s="159"/>
    </row>
    <row r="15" spans="1:19" ht="16.5" customHeight="1">
      <c r="A15" s="161" t="s">
        <v>216</v>
      </c>
      <c r="C15" s="154"/>
      <c r="D15" s="154"/>
      <c r="E15" s="166"/>
      <c r="F15" s="167" t="s">
        <v>54</v>
      </c>
      <c r="G15" s="168">
        <f>+[1]Ισολογισμός!K13</f>
        <v>8263850.6500000004</v>
      </c>
      <c r="H15" s="168">
        <f t="shared" ref="H15:H20" si="2">J15-G15+I15</f>
        <v>0</v>
      </c>
      <c r="I15" s="168">
        <v>0</v>
      </c>
      <c r="J15" s="168">
        <f>+[1]Ισολογισμός!E13</f>
        <v>8263850.6500000004</v>
      </c>
      <c r="K15" s="168">
        <v>0</v>
      </c>
      <c r="L15" s="168">
        <f>[1]Ισολογισμός!G13-[1]Ισολογισμός!M13</f>
        <v>0</v>
      </c>
      <c r="M15" s="168">
        <v>0</v>
      </c>
      <c r="N15" s="168">
        <v>0</v>
      </c>
      <c r="O15" s="168">
        <f>[1]Ισολογισμός!M13</f>
        <v>0</v>
      </c>
      <c r="P15" s="168">
        <f t="shared" ref="P15:P20" si="3">J15-O15</f>
        <v>8263850.6500000004</v>
      </c>
      <c r="Q15" s="159"/>
    </row>
    <row r="16" spans="1:19" ht="16.5" customHeight="1">
      <c r="A16" s="161"/>
      <c r="C16" s="154"/>
      <c r="D16" s="154"/>
      <c r="E16" s="166"/>
      <c r="F16" s="167" t="s">
        <v>56</v>
      </c>
      <c r="G16" s="168">
        <f>+[1]Ισολογισμός!K14</f>
        <v>5162652.9399999995</v>
      </c>
      <c r="H16" s="168">
        <f t="shared" si="2"/>
        <v>0</v>
      </c>
      <c r="I16" s="168">
        <v>0</v>
      </c>
      <c r="J16" s="168">
        <f>[1]Ισολογισμός!E14</f>
        <v>5162652.9399999995</v>
      </c>
      <c r="K16" s="168">
        <f>+[1]Ισολογισμός!M14</f>
        <v>3064550.94</v>
      </c>
      <c r="L16" s="168">
        <f>3272319.04-K16</f>
        <v>207768.10000000009</v>
      </c>
      <c r="M16" s="168">
        <v>0</v>
      </c>
      <c r="N16" s="168">
        <v>0</v>
      </c>
      <c r="O16" s="168">
        <f>K16+L16</f>
        <v>3272319.04</v>
      </c>
      <c r="P16" s="168">
        <f t="shared" si="3"/>
        <v>1890333.8999999994</v>
      </c>
      <c r="Q16" s="159"/>
    </row>
    <row r="17" spans="1:17" s="175" customFormat="1" ht="33" customHeight="1">
      <c r="A17" s="174"/>
      <c r="C17" s="176"/>
      <c r="D17" s="176"/>
      <c r="E17" s="167"/>
      <c r="F17" s="167" t="s">
        <v>217</v>
      </c>
      <c r="G17" s="169">
        <f>[1]Ισολογισμός!K15</f>
        <v>769794.61</v>
      </c>
      <c r="H17" s="169">
        <v>98.4</v>
      </c>
      <c r="I17" s="168">
        <v>0</v>
      </c>
      <c r="J17" s="169">
        <f>G17+H17</f>
        <v>769893.01</v>
      </c>
      <c r="K17" s="169">
        <f>[1]Ισολογισμός!M15</f>
        <v>535463.38</v>
      </c>
      <c r="L17" s="168">
        <f>565249.29-Μεταβ_Παγίων!K17</f>
        <v>29785.910000000033</v>
      </c>
      <c r="M17" s="168">
        <v>0</v>
      </c>
      <c r="N17" s="169"/>
      <c r="O17" s="168">
        <f>K17+L17</f>
        <v>565249.29</v>
      </c>
      <c r="P17" s="168">
        <f t="shared" si="3"/>
        <v>204643.71999999997</v>
      </c>
      <c r="Q17" s="177"/>
    </row>
    <row r="18" spans="1:17" ht="16.5" customHeight="1">
      <c r="C18" s="154"/>
      <c r="D18" s="154"/>
      <c r="E18" s="166"/>
      <c r="F18" s="167" t="s">
        <v>59</v>
      </c>
      <c r="G18" s="168">
        <f>[1]Ισολογισμός!K16</f>
        <v>0</v>
      </c>
      <c r="H18" s="168">
        <f t="shared" si="2"/>
        <v>0</v>
      </c>
      <c r="I18" s="168">
        <v>0</v>
      </c>
      <c r="J18" s="168">
        <f>[1]Ισολογισμός!E16</f>
        <v>0</v>
      </c>
      <c r="K18" s="168">
        <f>[1]Ισολογισμός!M16</f>
        <v>0</v>
      </c>
      <c r="L18" s="168">
        <f>[1]Ισολογισμός!G16-[1]Ισολογισμός!M16</f>
        <v>0</v>
      </c>
      <c r="M18" s="169">
        <v>0</v>
      </c>
      <c r="N18" s="168">
        <v>0</v>
      </c>
      <c r="O18" s="168">
        <f>[1]Ισολογισμός!M16</f>
        <v>0</v>
      </c>
      <c r="P18" s="168">
        <f t="shared" si="3"/>
        <v>0</v>
      </c>
      <c r="Q18" s="159"/>
    </row>
    <row r="19" spans="1:17" ht="16.5" customHeight="1">
      <c r="C19" s="154"/>
      <c r="D19" s="154"/>
      <c r="E19" s="166"/>
      <c r="F19" s="167" t="s">
        <v>60</v>
      </c>
      <c r="G19" s="168">
        <f>[1]Ισολογισμός!K17</f>
        <v>392105.88</v>
      </c>
      <c r="H19" s="168">
        <v>59.04</v>
      </c>
      <c r="I19" s="168">
        <v>0</v>
      </c>
      <c r="J19" s="168">
        <f>G19+H19</f>
        <v>392164.92</v>
      </c>
      <c r="K19" s="168">
        <f>[1]Ισολογισμός!M17</f>
        <v>374904.41</v>
      </c>
      <c r="L19" s="168">
        <f>382436.17-K19</f>
        <v>7531.7600000000093</v>
      </c>
      <c r="M19" s="168">
        <v>0</v>
      </c>
      <c r="N19" s="168"/>
      <c r="O19" s="168">
        <f>K19+L19</f>
        <v>382436.17</v>
      </c>
      <c r="P19" s="168">
        <f t="shared" si="3"/>
        <v>9728.75</v>
      </c>
      <c r="Q19" s="159"/>
    </row>
    <row r="20" spans="1:17" ht="33" customHeight="1">
      <c r="C20" s="154"/>
      <c r="D20" s="154"/>
      <c r="E20" s="166"/>
      <c r="F20" s="167" t="s">
        <v>63</v>
      </c>
      <c r="G20" s="168">
        <f>[1]Ισολογισμός!K18</f>
        <v>4182</v>
      </c>
      <c r="H20" s="168">
        <f t="shared" si="2"/>
        <v>0</v>
      </c>
      <c r="I20" s="168">
        <f>G20</f>
        <v>4182</v>
      </c>
      <c r="J20" s="168">
        <v>0</v>
      </c>
      <c r="K20" s="168">
        <f>[1]Ισολογισμός!M18</f>
        <v>0</v>
      </c>
      <c r="L20" s="168">
        <f>[1]Ισολογισμός!G18-[1]Ισολογισμός!M18</f>
        <v>0</v>
      </c>
      <c r="M20" s="168">
        <v>0</v>
      </c>
      <c r="N20" s="168">
        <v>0</v>
      </c>
      <c r="O20" s="168">
        <f>[1]Ισολογισμός!G18</f>
        <v>0</v>
      </c>
      <c r="P20" s="168">
        <f t="shared" si="3"/>
        <v>0</v>
      </c>
      <c r="Q20" s="159"/>
    </row>
    <row r="21" spans="1:17" ht="39.75" customHeight="1">
      <c r="C21" s="154"/>
      <c r="D21" s="154"/>
      <c r="E21" s="166"/>
      <c r="F21" s="178" t="s">
        <v>218</v>
      </c>
      <c r="G21" s="170">
        <f t="shared" ref="G21:P21" si="4">SUM(G15:G20)</f>
        <v>14592586.08</v>
      </c>
      <c r="H21" s="170">
        <f>SUM(H15:H20)</f>
        <v>157.44</v>
      </c>
      <c r="I21" s="170">
        <f t="shared" si="4"/>
        <v>4182</v>
      </c>
      <c r="J21" s="170">
        <f t="shared" si="4"/>
        <v>14588561.52</v>
      </c>
      <c r="K21" s="170">
        <f t="shared" si="4"/>
        <v>3974918.73</v>
      </c>
      <c r="L21" s="170">
        <f>SUM(L15:L20)</f>
        <v>245085.77000000014</v>
      </c>
      <c r="M21" s="170">
        <f>SUM(M15:M20)</f>
        <v>0</v>
      </c>
      <c r="N21" s="170">
        <f t="shared" si="4"/>
        <v>0</v>
      </c>
      <c r="O21" s="170">
        <f t="shared" si="4"/>
        <v>4220004.5</v>
      </c>
      <c r="P21" s="170">
        <f t="shared" si="4"/>
        <v>10368557.020000001</v>
      </c>
      <c r="Q21" s="179"/>
    </row>
    <row r="22" spans="1:17" ht="16.5" customHeight="1">
      <c r="C22" s="154"/>
      <c r="D22" s="154"/>
      <c r="E22" s="166"/>
      <c r="F22" s="173" t="s">
        <v>219</v>
      </c>
      <c r="G22" s="170">
        <f t="shared" ref="G22:O22" si="5">G21+G12</f>
        <v>14592586.08</v>
      </c>
      <c r="H22" s="170">
        <f>H21+H12</f>
        <v>157.44</v>
      </c>
      <c r="I22" s="170">
        <f t="shared" si="5"/>
        <v>4182</v>
      </c>
      <c r="J22" s="170">
        <f t="shared" si="5"/>
        <v>14588561.52</v>
      </c>
      <c r="K22" s="170">
        <f t="shared" si="5"/>
        <v>3974918.73</v>
      </c>
      <c r="L22" s="170">
        <f>L21+L12</f>
        <v>245085.77000000014</v>
      </c>
      <c r="M22" s="170">
        <f>M21+M12</f>
        <v>0</v>
      </c>
      <c r="N22" s="170">
        <f t="shared" si="5"/>
        <v>0</v>
      </c>
      <c r="O22" s="170">
        <f t="shared" si="5"/>
        <v>4220004.5</v>
      </c>
      <c r="P22" s="170">
        <f>P21</f>
        <v>10368557.020000001</v>
      </c>
      <c r="Q22" s="179"/>
    </row>
    <row r="23" spans="1:17" ht="16.5" customHeight="1">
      <c r="C23" s="154"/>
      <c r="D23" s="154"/>
      <c r="E23" s="166"/>
      <c r="F23" s="173" t="s">
        <v>220</v>
      </c>
      <c r="G23" s="170">
        <f t="shared" ref="G23:N23" si="6">G22+G7</f>
        <v>14690772.630000001</v>
      </c>
      <c r="H23" s="170">
        <f>H22+H7</f>
        <v>157.44</v>
      </c>
      <c r="I23" s="180">
        <f t="shared" si="6"/>
        <v>4182</v>
      </c>
      <c r="J23" s="170">
        <f t="shared" si="6"/>
        <v>14686748.07</v>
      </c>
      <c r="K23" s="170">
        <f t="shared" si="6"/>
        <v>4073105.28</v>
      </c>
      <c r="L23" s="170">
        <f>L22+L7</f>
        <v>245085.77000000014</v>
      </c>
      <c r="M23" s="170">
        <f>M22+M7</f>
        <v>0</v>
      </c>
      <c r="N23" s="181">
        <f t="shared" si="6"/>
        <v>0</v>
      </c>
      <c r="O23" s="170">
        <f>O7+O22</f>
        <v>4318191.05</v>
      </c>
      <c r="P23" s="170">
        <f>P22+P6</f>
        <v>10368557.020000001</v>
      </c>
      <c r="Q23" s="179"/>
    </row>
  </sheetData>
  <mergeCells count="2">
    <mergeCell ref="E1:O1"/>
    <mergeCell ref="E3:P3"/>
  </mergeCells>
  <printOptions horizontalCentered="1"/>
  <pageMargins left="0.15748031496062992" right="0.15748031496062992" top="0.84" bottom="0.70866141732283472" header="0.51181102362204722" footer="0.51181102362204722"/>
  <pageSetup paperSize="9" scale="72" firstPageNumber="0" orientation="landscape" horizontalDpi="300" verticalDpi="300" r:id="rId1"/>
  <headerFooter alignWithMargins="0">
    <oddHeader>&amp;C&amp;F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5</vt:i4>
      </vt:variant>
    </vt:vector>
  </HeadingPairs>
  <TitlesOfParts>
    <vt:vector size="9" baseType="lpstr">
      <vt:lpstr>Ισολογισμός</vt:lpstr>
      <vt:lpstr>Λογ.Εκμετάλλευσης</vt:lpstr>
      <vt:lpstr>ΦύλλοΜερισμού</vt:lpstr>
      <vt:lpstr>Μεταβ_Παγίων</vt:lpstr>
      <vt:lpstr>Excel_BuiltIn_Print_Area_5_1</vt:lpstr>
      <vt:lpstr>Ισολογισμός!Print_Area</vt:lpstr>
      <vt:lpstr>Λογ.Εκμετάλλευσης!Print_Area</vt:lpstr>
      <vt:lpstr>Μεταβ_Παγίων!Print_Area</vt:lpstr>
      <vt:lpstr>ΦύλλοΜερισμού!Print_Area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Oikonomiko</cp:lastModifiedBy>
  <cp:lastPrinted>2016-10-14T09:43:15Z</cp:lastPrinted>
  <dcterms:created xsi:type="dcterms:W3CDTF">2013-06-05T07:51:55Z</dcterms:created>
  <dcterms:modified xsi:type="dcterms:W3CDTF">2017-06-01T11:54:17Z</dcterms:modified>
</cp:coreProperties>
</file>